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8.xml" ContentType="application/vnd.openxmlformats-officedocument.spreadsheetml.worksheet+xml"/>
  <Override PartName="/xl/pivotTables/pivotTable8.xml" ContentType="application/vnd.openxmlformats-officedocument.spreadsheetml.pivotTable+xml"/>
  <Override PartName="/xl/pivotTables/pivotTable10.xml" ContentType="application/vnd.openxmlformats-officedocument.spreadsheetml.pivotTable+xml"/>
  <Override PartName="/xl/worksheets/sheet7.xml" ContentType="application/vnd.openxmlformats-officedocument.spreadsheetml.worksheet+xml"/>
  <Override PartName="/xl/pivotTables/pivotTable9.xml" ContentType="application/vnd.openxmlformats-officedocument.spreadsheetml.pivotTable+xml"/>
  <Override PartName="/xl/worksheets/sheet6.xml" ContentType="application/vnd.openxmlformats-officedocument.spreadsheetml.worksheet+xml"/>
  <Override PartName="/xl/pivotTables/pivotTable4.xml" ContentType="application/vnd.openxmlformats-officedocument.spreadsheetml.pivotTable+xml"/>
  <Override PartName="/xl/worksheets/sheet5.xml" ContentType="application/vnd.openxmlformats-officedocument.spreadsheetml.worksheet+xml"/>
  <Override PartName="/xl/pivotTables/pivotTable6.xml" ContentType="application/vnd.openxmlformats-officedocument.spreadsheetml.pivotTable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pivotTables/pivotTable1.xml" ContentType="application/vnd.openxmlformats-officedocument.spreadsheetml.pivotTable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5.xml" ContentType="application/vnd.openxmlformats-officedocument.spreadsheetml.pivotTable+xml"/>
  <Override PartName="/xl/pivotTables/pivotTable14.xml" ContentType="application/vnd.openxmlformats-officedocument.spreadsheetml.pivotTable+xml"/>
  <Override PartName="/xl/pivotTables/pivotTable3.xml" ContentType="application/vnd.openxmlformats-officedocument.spreadsheetml.pivotTable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pivotTables/pivotTable12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3.xml" ContentType="application/vnd.openxmlformats-officedocument.spreadsheetml.pivotTable+xml"/>
  <Override PartName="/xl/pivotCache/pivotCacheRecords1.xml" ContentType="application/vnd.openxmlformats-officedocument.spreadsheetml.pivotCacheRecords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Tables/pivotTable7.xml" ContentType="application/vnd.openxmlformats-officedocument.spreadsheetml.pivotTable+xml"/>
  <Override PartName="/xl/pivotTables/pivotTable2.xml" ContentType="application/vnd.openxmlformats-officedocument.spreadsheetml.pivotTable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1"/>
  <bookViews>
    <workbookView xWindow="360" yWindow="15" windowWidth="20955" windowHeight="9720" activeTab="2"/>
  </bookViews>
  <sheets>
    <sheet name="Export" sheetId="1" state="visible" r:id="rId2"/>
    <sheet name="INDICADORES" sheetId="2" state="visible" r:id="rId3"/>
    <sheet name="TABELA PARA PRINT" sheetId="3" state="visible" r:id="rId4"/>
    <sheet name="TICKET MÉDIO" sheetId="4" state="visible" r:id="rId5"/>
    <sheet name="Clientes atendidos e Unidades " sheetId="5" state="visible" r:id="rId6"/>
    <sheet name="Faturamento por colaborador" sheetId="6" state="visible" r:id="rId7"/>
    <sheet name="SKUS " sheetId="7" state="visible" r:id="rId8"/>
    <sheet name="DELIVERY" sheetId="8" state="visible" r:id="rId9"/>
    <sheet name="Faturamento por grupo" sheetId="9" state="visible" r:id="rId10"/>
  </sheets>
  <calcPr/>
  <pivotCaches>
    <pivotCache cacheId="0" r:id="rId1"/>
  </pivotCaches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<sst xmlns="http://schemas.openxmlformats.org/spreadsheetml/2006/main" count="179" uniqueCount="179">
  <si>
    <t>Ano/Mês</t>
  </si>
  <si>
    <t>CNPJ</t>
  </si>
  <si>
    <t xml:space="preserve">Razão Social</t>
  </si>
  <si>
    <t>Bandeira</t>
  </si>
  <si>
    <t>UF</t>
  </si>
  <si>
    <t xml:space="preserve">Status PAI</t>
  </si>
  <si>
    <t xml:space="preserve">Total de Vendas Realizadas</t>
  </si>
  <si>
    <t xml:space="preserve">Total de Desconto Concedido</t>
  </si>
  <si>
    <t xml:space="preserve">% Desconto</t>
  </si>
  <si>
    <t xml:space="preserve">Imposto Federal Pago</t>
  </si>
  <si>
    <t xml:space="preserve">ICMS Pago</t>
  </si>
  <si>
    <t xml:space="preserve">Despesas com Pagto de Mercadorias (Cmv)</t>
  </si>
  <si>
    <t xml:space="preserve">LUCRO BRUTO</t>
  </si>
  <si>
    <t xml:space="preserve">LUCRO BRUTO %</t>
  </si>
  <si>
    <t xml:space="preserve">Taxas de Cartão de Crédito</t>
  </si>
  <si>
    <t xml:space="preserve">Taxas de Convênios Terceirizados</t>
  </si>
  <si>
    <t xml:space="preserve">Perda de Cheques/Cartões</t>
  </si>
  <si>
    <t xml:space="preserve">Salários Fixos + Horas Extras</t>
  </si>
  <si>
    <t xml:space="preserve">Comissões e Premiações Sobre Vendas</t>
  </si>
  <si>
    <t xml:space="preserve">Provisionamento de 13º Salário + 1/3 Férias</t>
  </si>
  <si>
    <t>Benefícios</t>
  </si>
  <si>
    <t xml:space="preserve">Encargos – INSS</t>
  </si>
  <si>
    <t xml:space="preserve">Encargos – FGTS</t>
  </si>
  <si>
    <t>Pró-Labore</t>
  </si>
  <si>
    <t xml:space="preserve">Aluguel do POS de Cartão de Crédito</t>
  </si>
  <si>
    <t xml:space="preserve">Escritório de Contabilidade</t>
  </si>
  <si>
    <t xml:space="preserve">Assessoria Jurídica</t>
  </si>
  <si>
    <t xml:space="preserve">Cursos, Treinamentos e Despesas de Viagem</t>
  </si>
  <si>
    <t>Entidades</t>
  </si>
  <si>
    <t xml:space="preserve">Manutenção Software + Hardware</t>
  </si>
  <si>
    <t xml:space="preserve">Outras Despesas com Assessorias</t>
  </si>
  <si>
    <t xml:space="preserve">Seguros Da Empresa (Imóvel e Veículos)</t>
  </si>
  <si>
    <t xml:space="preserve">Manutenção de Veículos</t>
  </si>
  <si>
    <t xml:space="preserve">Funcionários Terceirizados</t>
  </si>
  <si>
    <t xml:space="preserve">Aluguel + Condomínio + Iptu</t>
  </si>
  <si>
    <t xml:space="preserve">Energia Elétrica</t>
  </si>
  <si>
    <t xml:space="preserve">Água / Esgoto</t>
  </si>
  <si>
    <t xml:space="preserve">Telefone / Acesso à Internet</t>
  </si>
  <si>
    <t xml:space="preserve">Material de Limpeza, Cabine de Aplicação e Uso Consumo</t>
  </si>
  <si>
    <t xml:space="preserve">Consumo Interno</t>
  </si>
  <si>
    <t xml:space="preserve">Manutenção de Instalações</t>
  </si>
  <si>
    <t xml:space="preserve">Taxas e Licenças Da Farmácia</t>
  </si>
  <si>
    <t xml:space="preserve">Promoção e Propaganda</t>
  </si>
  <si>
    <t xml:space="preserve">Outras Despesas de Funcionamento</t>
  </si>
  <si>
    <t xml:space="preserve">Juros de Cheque Especial, Juros de Duplicatas e Demais Juros</t>
  </si>
  <si>
    <t xml:space="preserve">Tarifas Bancárias</t>
  </si>
  <si>
    <t xml:space="preserve">Receitas Não Operacionais</t>
  </si>
  <si>
    <t xml:space="preserve">Lucro com Recarga de Celular e Cartão Telefônico</t>
  </si>
  <si>
    <t xml:space="preserve">Verbas de Marketing Recebidas</t>
  </si>
  <si>
    <t xml:space="preserve">Produtos Vencidos</t>
  </si>
  <si>
    <t xml:space="preserve">Quebra de Inventário</t>
  </si>
  <si>
    <t xml:space="preserve">Investimento em Máquinas / Equipamentos / Móveis</t>
  </si>
  <si>
    <t xml:space="preserve">Reforma Imóvel</t>
  </si>
  <si>
    <t xml:space="preserve">Pagamento de Empréstimos / Financiamento</t>
  </si>
  <si>
    <t xml:space="preserve">Retirada de Lucro Pelo Proprietário</t>
  </si>
  <si>
    <t xml:space="preserve">Nº de Clientes</t>
  </si>
  <si>
    <t xml:space="preserve">Nº de Colaboradores</t>
  </si>
  <si>
    <t xml:space="preserve">Estoque a Preço de Venda</t>
  </si>
  <si>
    <t xml:space="preserve">M2 Área de Vendas</t>
  </si>
  <si>
    <t xml:space="preserve">Venda Delivery</t>
  </si>
  <si>
    <t xml:space="preserve">Contas à Pagar Fornecedores em Aberto</t>
  </si>
  <si>
    <t xml:space="preserve">Unidades Vendidas</t>
  </si>
  <si>
    <t xml:space="preserve">Faturamento em R$ - Medicamentos Propagados</t>
  </si>
  <si>
    <t xml:space="preserve">Faturamento em R$ - Medicamentos Genéricos</t>
  </si>
  <si>
    <t xml:space="preserve">Faturamento em R$ - Medicamentos Similares</t>
  </si>
  <si>
    <t xml:space="preserve">Faturamento em R$ - Perfumaria</t>
  </si>
  <si>
    <t xml:space="preserve">Faturamento em R$ - Outros Produtos</t>
  </si>
  <si>
    <t xml:space="preserve">Quantidade de SKU Propagados</t>
  </si>
  <si>
    <t xml:space="preserve">Quantidade de SKU Genéricos</t>
  </si>
  <si>
    <t xml:space="preserve">Quantidade de SKU Perfumaria</t>
  </si>
  <si>
    <t xml:space="preserve">Quantidade de SKU Outros Produtos</t>
  </si>
  <si>
    <t xml:space="preserve">Quantidade de SKU Similares</t>
  </si>
  <si>
    <t xml:space="preserve">Despesa Fixa</t>
  </si>
  <si>
    <t xml:space="preserve">Despesa Fixa %</t>
  </si>
  <si>
    <t xml:space="preserve">Despesas Extras</t>
  </si>
  <si>
    <t xml:space="preserve">Despesa Op. Funcionário</t>
  </si>
  <si>
    <t xml:space="preserve">Despesa Op. Funcionário %</t>
  </si>
  <si>
    <t xml:space="preserve">Despesa Op. Funcionamento</t>
  </si>
  <si>
    <t xml:space="preserve">Despesa Op. Funcionamento %</t>
  </si>
  <si>
    <t xml:space="preserve">Despesa Op. Acessoria</t>
  </si>
  <si>
    <t xml:space="preserve">Despesa Op. Proprietário</t>
  </si>
  <si>
    <t xml:space="preserve">Despesa Op. Administrativa</t>
  </si>
  <si>
    <t xml:space="preserve">Resultado Líquido</t>
  </si>
  <si>
    <t xml:space="preserve">Ticket Médio</t>
  </si>
  <si>
    <t xml:space="preserve">Unidade Vendida Cliente</t>
  </si>
  <si>
    <t xml:space="preserve">CMV %</t>
  </si>
  <si>
    <t xml:space="preserve">Lucratividade %</t>
  </si>
  <si>
    <t xml:space="preserve">RESULTADO FINAL</t>
  </si>
  <si>
    <t xml:space="preserve">% RESULTADO FINAL</t>
  </si>
  <si>
    <t>2024/05</t>
  </si>
  <si>
    <t xml:space="preserve">DROGARIA UNIAO ALEGRIA LTDA</t>
  </si>
  <si>
    <t xml:space="preserve">ULTRA POPULAR</t>
  </si>
  <si>
    <t>RJ</t>
  </si>
  <si>
    <t>APROVADO</t>
  </si>
  <si>
    <t>2024/06</t>
  </si>
  <si>
    <t>2024/07</t>
  </si>
  <si>
    <t>2024/08</t>
  </si>
  <si>
    <t>2024/09</t>
  </si>
  <si>
    <t>2024/10</t>
  </si>
  <si>
    <t xml:space="preserve">PENDENTE DE ANÁLISE PELO ANJO</t>
  </si>
  <si>
    <t xml:space="preserve">DROGARIA ULTRAPOPULAR ANGRA DOS REIS LTDA</t>
  </si>
  <si>
    <t xml:space="preserve">DROGARIA ULTRAPOPULAR ITATIAIA II LTDA</t>
  </si>
  <si>
    <t xml:space="preserve">DROGARIA ULTRAPOPULAR MANEJO LTDA - ME - MATRIZ</t>
  </si>
  <si>
    <t xml:space="preserve">DROGARIA ULTRAPOPULAR MANEJO LTDA - ME - FILIAL 01</t>
  </si>
  <si>
    <t xml:space="preserve">DROGARIA ULTRAPOPULAR MANEJO LTDA - ME - FILIAL 02</t>
  </si>
  <si>
    <t xml:space="preserve">DROGARIA ULTRAPOPULAR MANEJO LTDA - ME - FILIAL 05</t>
  </si>
  <si>
    <t xml:space="preserve">DROGARIA ULTRAPOPULAR MANEJO LTDA - ME - FILIAL 07</t>
  </si>
  <si>
    <t xml:space="preserve">DROGARIA ULTRAPOPULAR MANEJO LTDA - ME - FILIAL 09</t>
  </si>
  <si>
    <t xml:space="preserve">DROGARIA ULTRAPOPULAR MANEJO LTDA FILIAL 11</t>
  </si>
  <si>
    <t xml:space="preserve">DROGARIA CAMPOS ELISEOS ME LTDA</t>
  </si>
  <si>
    <t xml:space="preserve">Filtros aplicados:
Ano/Mês é 2024/10, 2024/09, 2024/08, 2024/07, 2024/06 ou 2024/05
associado é Marina Aparecida Da Silva Duarte</t>
  </si>
  <si>
    <t xml:space="preserve">Rótulos de Linha</t>
  </si>
  <si>
    <t xml:space="preserve">Soma de Total de Vendas Realizadas</t>
  </si>
  <si>
    <t xml:space="preserve">Média de CMV %</t>
  </si>
  <si>
    <t xml:space="preserve">Média de % Desconto</t>
  </si>
  <si>
    <t xml:space="preserve">Média de Despesa Fixa %</t>
  </si>
  <si>
    <t xml:space="preserve">Média de Lucratividade %</t>
  </si>
  <si>
    <t xml:space="preserve">Soma de Resultado Líquido</t>
  </si>
  <si>
    <t xml:space="preserve">% Resultado Líquido</t>
  </si>
  <si>
    <t xml:space="preserve">Total Geral</t>
  </si>
  <si>
    <t xml:space="preserve">INDICADORES DO PAI - MÉDIA 6 MESES</t>
  </si>
  <si>
    <t xml:space="preserve">VALOR (R$)</t>
  </si>
  <si>
    <t>%</t>
  </si>
  <si>
    <t xml:space="preserve">VENDA LÍQUIDIA</t>
  </si>
  <si>
    <t>CMV</t>
  </si>
  <si>
    <t>DESCONTO</t>
  </si>
  <si>
    <t xml:space="preserve">UNIDADES VENDIDAS</t>
  </si>
  <si>
    <t xml:space="preserve">CLIENTES ATENDIDOS</t>
  </si>
  <si>
    <t xml:space="preserve">TICKET MÉDIO</t>
  </si>
  <si>
    <t xml:space="preserve">RESULTADO LÍQUIDO</t>
  </si>
  <si>
    <t xml:space="preserve">% FATURAMENTO - DELIVERY</t>
  </si>
  <si>
    <t xml:space="preserve">% FATURAMENTO - PROPAGADO</t>
  </si>
  <si>
    <t>-</t>
  </si>
  <si>
    <t xml:space="preserve">% FATURAMENTO - GENÉRICO</t>
  </si>
  <si>
    <t xml:space="preserve">% FATURAMENTO - SIMILAR</t>
  </si>
  <si>
    <t xml:space="preserve">% FATURAMENTO - NÃO MEDICAMENTOS</t>
  </si>
  <si>
    <t xml:space="preserve">% FATURAMENTO OUTROS PRODUTOS</t>
  </si>
  <si>
    <t xml:space="preserve">DESPESAS FIXAS</t>
  </si>
  <si>
    <t xml:space="preserve">DESPESAS VARIÁVEIS</t>
  </si>
  <si>
    <t xml:space="preserve">DESPESAS COM FUNCIONÁRIOS</t>
  </si>
  <si>
    <t xml:space="preserve">DESPESAS OPERACIONAL DE FUNCIONAMENTO</t>
  </si>
  <si>
    <t>(Tudo)</t>
  </si>
  <si>
    <t xml:space="preserve">Média de Ticket Médio</t>
  </si>
  <si>
    <t xml:space="preserve">N° de clientes atendidos -TOTAL DO GE</t>
  </si>
  <si>
    <t xml:space="preserve">N° de clientes atendidos - MÉDIA DO GE</t>
  </si>
  <si>
    <t xml:space="preserve">Soma de Nº de Clientes</t>
  </si>
  <si>
    <t xml:space="preserve">Média de Nº de Clientes</t>
  </si>
  <si>
    <t xml:space="preserve">Soma de Und. Vendidas TOTAL DO GE</t>
  </si>
  <si>
    <t xml:space="preserve">Unidades por cliente - TOTAL DO GE</t>
  </si>
  <si>
    <t xml:space="preserve">Soma de Unidades Vendidas</t>
  </si>
  <si>
    <t xml:space="preserve">Média de Unidade Vendida Cliente</t>
  </si>
  <si>
    <t xml:space="preserve">Soma de Nº de Colaboradores</t>
  </si>
  <si>
    <t xml:space="preserve">Fat. Por colaborador</t>
  </si>
  <si>
    <t xml:space="preserve">MÉDIA DE SKUS - POR CATEGORIA - GE</t>
  </si>
  <si>
    <t xml:space="preserve">Média de Quantidade de SKU Propagados</t>
  </si>
  <si>
    <t xml:space="preserve">Média de Quantidade de SKU Genéricos</t>
  </si>
  <si>
    <t xml:space="preserve">Média de Quantidade de SKU Perfumaria</t>
  </si>
  <si>
    <t xml:space="preserve">Média de Quantidade de SKU Outros Produtos</t>
  </si>
  <si>
    <t xml:space="preserve">Média de Quantidade de SKU Similares</t>
  </si>
  <si>
    <t xml:space="preserve"> SKUS - POR LOJA</t>
  </si>
  <si>
    <t xml:space="preserve">Soma de Quantidade de SKU Propagados</t>
  </si>
  <si>
    <t xml:space="preserve">Soma de Quantidade de SKU Genéricos</t>
  </si>
  <si>
    <t xml:space="preserve">Soma de Quantidade de SKU Perfumaria</t>
  </si>
  <si>
    <t xml:space="preserve">Soma de Quantidade de SKU Outros Produtos</t>
  </si>
  <si>
    <t xml:space="preserve">Soma de Quantidade de SKU Similares</t>
  </si>
  <si>
    <t xml:space="preserve">Soma de Venda Delivery</t>
  </si>
  <si>
    <t xml:space="preserve">REPRESENTATIVIDADE DELIVERY</t>
  </si>
  <si>
    <t xml:space="preserve">Soma de Faturamento em R$ - Medicamentos Propagados</t>
  </si>
  <si>
    <t xml:space="preserve">REPRESENTATIVIDADE PROPAGADO</t>
  </si>
  <si>
    <t xml:space="preserve">Soma de Faturamento em R$ - Medicamentos Genéricos</t>
  </si>
  <si>
    <t xml:space="preserve">Soma de Faturamento em R$ - Medicamentos Similares</t>
  </si>
  <si>
    <t xml:space="preserve">Representatividade da venda de medicamentos</t>
  </si>
  <si>
    <t xml:space="preserve">Total faturamento de Medicamentos</t>
  </si>
  <si>
    <t xml:space="preserve">Representatividade por grupo</t>
  </si>
  <si>
    <t>Propagados</t>
  </si>
  <si>
    <t>Genéricos</t>
  </si>
  <si>
    <t>Similar</t>
  </si>
  <si>
    <t xml:space="preserve">Soma de Faturamento em R$ - Perfumaria</t>
  </si>
  <si>
    <t xml:space="preserve">Soma de Faturamento em R$ - Outros Produtos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</si>
</sst>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_-&quot;R$&quot;\ * #,##0.00_-;\-&quot;R$&quot;\ * #,##0.00_-;_-&quot;R$&quot;\ * &quot;-&quot;??_-;_-@_-"/>
  </numFmts>
  <fonts count="7">
    <font>
      <sz val="11.000000"/>
      <color theme="1"/>
      <name val="Aptos Narrow"/>
    </font>
    <font>
      <sz val="11.000000"/>
      <name val="Aptos Narrow"/>
    </font>
    <font>
      <b/>
      <sz val="11.000000"/>
      <color theme="1"/>
      <name val="Aptos Narrow"/>
    </font>
    <font>
      <b/>
      <sz val="12.000000"/>
      <color theme="0"/>
      <name val="Aptos Narrow"/>
    </font>
    <font>
      <b/>
      <sz val="11.000000"/>
      <color theme="0"/>
      <name val="Aptos Narrow"/>
    </font>
    <font>
      <b/>
      <sz val="11.000000"/>
      <name val="Aptos Narrow"/>
    </font>
    <font>
      <b/>
      <sz val="16.000000"/>
      <name val="Aptos Narrow"/>
    </font>
  </fonts>
  <fills count="9">
    <fill>
      <patternFill patternType="none"/>
    </fill>
    <fill>
      <patternFill patternType="gray125"/>
    </fill>
    <fill>
      <patternFill patternType="solid">
        <fgColor indexed="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572F"/>
      </patternFill>
    </fill>
    <fill>
      <patternFill patternType="solid">
        <fgColor theme="2" tint="-0.499984740745262"/>
      </patternFill>
    </fill>
    <fill>
      <patternFill patternType="solid">
        <fgColor theme="2" tint="-0.099978637043366805"/>
      </patternFill>
    </fill>
    <fill>
      <patternFill patternType="solid">
        <fgColor theme="0"/>
      </patternFill>
    </fill>
    <fill>
      <patternFill patternType="solid">
        <fgColor theme="0" tint="-0.14999847407452621"/>
      </patternFill>
    </fill>
  </fills>
  <borders count="4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theme="4" tint="0.39997558519241921"/>
      </bottom>
      <diagonal style="none"/>
    </border>
    <border>
      <left style="none"/>
      <right style="none"/>
      <top style="thin">
        <color theme="4" tint="0.39997558519241921"/>
      </top>
      <bottom style="none"/>
      <diagonal style="none"/>
    </border>
  </borders>
  <cellStyleXfs count="3">
    <xf fontId="0" fillId="0" borderId="0" numFmtId="0" applyNumberFormat="1" applyFont="1" applyFill="1" applyBorder="1"/>
    <xf fontId="1" fillId="0" borderId="0" numFmtId="164" applyNumberFormat="1" applyFont="0" applyFill="0" applyBorder="0" applyProtection="0"/>
    <xf fontId="1" fillId="0" borderId="0" numFmtId="9" applyNumberFormat="1" applyFont="0" applyFill="0" applyBorder="0" applyProtection="0"/>
  </cellStyleXfs>
  <cellXfs count="61">
    <xf fontId="0" fillId="0" borderId="0" numFmtId="0" xfId="0"/>
    <xf fontId="0" fillId="0" borderId="0" numFmtId="164" xfId="1" applyNumberFormat="1"/>
    <xf fontId="0" fillId="0" borderId="0" numFmtId="164" xfId="1" applyNumberFormat="1" applyAlignment="1">
      <alignment horizontal="center"/>
    </xf>
    <xf fontId="0" fillId="0" borderId="0" numFmtId="3" xfId="0" applyNumberFormat="1"/>
    <xf fontId="0" fillId="0" borderId="0" numFmtId="9" xfId="2" applyNumberFormat="1"/>
    <xf fontId="0" fillId="0" borderId="0" numFmtId="9" xfId="2" applyNumberFormat="1" applyAlignment="1">
      <alignment horizontal="center"/>
    </xf>
    <xf fontId="0" fillId="0" borderId="0" numFmtId="0" xfId="0" applyAlignment="1">
      <alignment horizontal="center"/>
    </xf>
    <xf fontId="0" fillId="0" borderId="1" numFmtId="0" xfId="0" applyBorder="1"/>
    <xf fontId="0" fillId="0" borderId="1" numFmtId="164" xfId="1" applyNumberFormat="1" applyBorder="1"/>
    <xf fontId="0" fillId="2" borderId="1" numFmtId="164" xfId="1" applyNumberFormat="1" applyFill="1" applyBorder="1" applyAlignment="1">
      <alignment horizontal="center"/>
    </xf>
    <xf fontId="0" fillId="0" borderId="1" numFmtId="3" xfId="0" applyNumberFormat="1" applyBorder="1"/>
    <xf fontId="0" fillId="0" borderId="1" numFmtId="9" xfId="2" applyNumberFormat="1" applyBorder="1"/>
    <xf fontId="0" fillId="2" borderId="1" numFmtId="164" xfId="1" applyNumberFormat="1" applyFill="1" applyBorder="1"/>
    <xf fontId="0" fillId="0" borderId="1" numFmtId="9" xfId="2" applyNumberFormat="1" applyBorder="1" applyAlignment="1">
      <alignment horizontal="center"/>
    </xf>
    <xf fontId="0" fillId="0" borderId="1" numFmtId="0" xfId="0" applyBorder="1" applyAlignment="1">
      <alignment horizontal="center"/>
    </xf>
    <xf fontId="0" fillId="2" borderId="0" numFmtId="0" xfId="0" applyFill="1"/>
    <xf fontId="0" fillId="0" borderId="0" numFmtId="1" xfId="0" applyNumberFormat="1"/>
    <xf fontId="0" fillId="0" borderId="0" numFmtId="2" xfId="0" applyNumberFormat="1" applyAlignment="1">
      <alignment horizontal="center"/>
    </xf>
    <xf fontId="0" fillId="0" borderId="0" numFmtId="164" xfId="0" applyNumberFormat="1"/>
    <xf fontId="0" fillId="0" borderId="0" numFmtId="10" xfId="2" applyNumberFormat="1"/>
    <xf fontId="0" fillId="0" borderId="0" numFmtId="0" xfId="0" applyAlignment="1" pivotButton="1">
      <alignment horizontal="left"/>
    </xf>
    <xf fontId="0" fillId="0" borderId="0" numFmtId="0" xfId="0" applyAlignment="1">
      <alignment horizontal="left"/>
    </xf>
    <xf fontId="2" fillId="3" borderId="2" numFmtId="0" xfId="0" applyFont="1" applyFill="1" applyBorder="1" applyAlignment="1">
      <alignment horizontal="left"/>
    </xf>
    <xf fontId="0" fillId="0" borderId="0" numFmtId="164" xfId="0" applyNumberFormat="1" applyAlignment="1">
      <alignment horizontal="left"/>
    </xf>
    <xf fontId="0" fillId="0" borderId="0" numFmtId="9" xfId="0" applyNumberFormat="1" applyAlignment="1">
      <alignment horizontal="center"/>
    </xf>
    <xf fontId="3" fillId="4" borderId="0" numFmtId="0" xfId="0" applyFont="1" applyFill="1" applyAlignment="1">
      <alignment horizontal="center" vertical="center"/>
    </xf>
    <xf fontId="4" fillId="5" borderId="0" numFmtId="0" xfId="0" applyFont="1" applyFill="1" applyAlignment="1">
      <alignment horizontal="center"/>
    </xf>
    <xf fontId="4" fillId="5" borderId="0" numFmtId="164" xfId="1" applyNumberFormat="1" applyFont="1" applyFill="1" applyAlignment="1">
      <alignment horizontal="center"/>
    </xf>
    <xf fontId="4" fillId="5" borderId="0" numFmtId="9" xfId="2" applyNumberFormat="1" applyFont="1" applyFill="1" applyAlignment="1">
      <alignment horizontal="center"/>
    </xf>
    <xf fontId="1" fillId="0" borderId="0" numFmtId="0" xfId="0" applyFont="1"/>
    <xf fontId="0" fillId="0" borderId="0" numFmtId="10" xfId="2" applyNumberFormat="1" applyAlignment="1">
      <alignment horizontal="center"/>
    </xf>
    <xf fontId="1" fillId="6" borderId="0" numFmtId="0" xfId="0" applyFont="1" applyFill="1"/>
    <xf fontId="0" fillId="6" borderId="0" numFmtId="164" xfId="1" applyNumberFormat="1" applyFill="1"/>
    <xf fontId="0" fillId="6" borderId="0" numFmtId="10" xfId="2" applyNumberFormat="1" applyFill="1" applyAlignment="1">
      <alignment horizontal="center"/>
    </xf>
    <xf fontId="0" fillId="6" borderId="0" numFmtId="3" xfId="1" applyNumberFormat="1" applyFill="1" applyAlignment="1">
      <alignment horizontal="center"/>
    </xf>
    <xf fontId="0" fillId="6" borderId="0" numFmtId="9" xfId="2" applyNumberFormat="1" applyFill="1" applyAlignment="1">
      <alignment horizontal="center"/>
    </xf>
    <xf fontId="0" fillId="0" borderId="0" numFmtId="3" xfId="1" applyNumberFormat="1" applyAlignment="1">
      <alignment horizontal="center"/>
    </xf>
    <xf fontId="1" fillId="0" borderId="0" numFmtId="164" xfId="1" applyNumberFormat="1" applyFont="1" applyAlignment="1">
      <alignment horizontal="center"/>
    </xf>
    <xf fontId="1" fillId="6" borderId="0" numFmtId="164" xfId="1" applyNumberFormat="1" applyFont="1" applyFill="1" applyAlignment="1">
      <alignment horizontal="center"/>
    </xf>
    <xf fontId="0" fillId="7" borderId="0" numFmtId="0" xfId="0" applyFill="1"/>
    <xf fontId="1" fillId="8" borderId="0" numFmtId="0" xfId="0" applyFont="1" applyFill="1"/>
    <xf fontId="1" fillId="8" borderId="0" numFmtId="164" xfId="1" applyNumberFormat="1" applyFont="1" applyFill="1" applyAlignment="1">
      <alignment horizontal="center"/>
    </xf>
    <xf fontId="0" fillId="8" borderId="0" numFmtId="10" xfId="2" applyNumberFormat="1" applyFill="1" applyAlignment="1">
      <alignment horizontal="center"/>
    </xf>
    <xf fontId="1" fillId="7" borderId="0" numFmtId="0" xfId="0" applyFont="1" applyFill="1"/>
    <xf fontId="1" fillId="7" borderId="0" numFmtId="164" xfId="1" applyNumberFormat="1" applyFont="1" applyFill="1" applyAlignment="1">
      <alignment horizontal="center"/>
    </xf>
    <xf fontId="0" fillId="7" borderId="0" numFmtId="10" xfId="2" applyNumberFormat="1" applyFill="1" applyAlignment="1">
      <alignment horizontal="center"/>
    </xf>
    <xf fontId="0" fillId="8" borderId="0" numFmtId="164" xfId="1" applyNumberFormat="1" applyFill="1"/>
    <xf fontId="0" fillId="7" borderId="0" numFmtId="164" xfId="1" applyNumberFormat="1" applyFill="1"/>
    <xf fontId="0" fillId="0" borderId="0" numFmtId="0" xfId="0" pivotButton="1"/>
    <xf fontId="5" fillId="0" borderId="0" numFmtId="0" xfId="0" applyFont="1" applyAlignment="1">
      <alignment horizontal="center" vertical="center"/>
    </xf>
    <xf fontId="0" fillId="0" borderId="0" numFmtId="2" xfId="0" applyNumberFormat="1"/>
    <xf fontId="2" fillId="3" borderId="2" numFmtId="0" xfId="0" applyFont="1" applyFill="1" applyBorder="1"/>
    <xf fontId="2" fillId="3" borderId="3" numFmtId="164" xfId="1" applyNumberFormat="1" applyFont="1" applyFill="1" applyBorder="1"/>
    <xf fontId="6" fillId="0" borderId="0" numFmtId="0" xfId="0" applyFont="1" applyAlignment="1">
      <alignment horizontal="center" vertical="center"/>
    </xf>
    <xf fontId="0" fillId="0" borderId="0" numFmtId="3" xfId="0" applyNumberFormat="1" applyAlignment="1">
      <alignment horizontal="center"/>
    </xf>
    <xf fontId="6" fillId="0" borderId="0" numFmtId="0" xfId="0" applyFont="1" applyAlignment="1">
      <alignment horizontal="center"/>
    </xf>
    <xf fontId="2" fillId="3" borderId="3" numFmtId="9" xfId="2" applyNumberFormat="1" applyFont="1" applyFill="1" applyBorder="1" applyAlignment="1">
      <alignment horizontal="center"/>
    </xf>
    <xf fontId="1" fillId="0" borderId="0" numFmtId="0" xfId="0" applyFont="1" applyAlignment="1">
      <alignment horizontal="center"/>
    </xf>
    <xf fontId="5" fillId="0" borderId="0" numFmtId="0" xfId="0" applyFont="1" applyAlignment="1">
      <alignment horizontal="center"/>
    </xf>
    <xf fontId="5" fillId="2" borderId="0" numFmtId="164" xfId="0" applyNumberFormat="1" applyFont="1" applyFill="1"/>
    <xf fontId="5" fillId="0" borderId="0" numFmtId="9" xfId="2" applyNumberFormat="1" applyFont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12">
    <dxf>
      <alignment horizontal="left" indent="0" relativeIndent="0" shrinkToFit="0" textRotation="0" vertical="bottom" wrapText="0"/>
    </dxf>
    <dxf>
      <alignment horizontal="left" indent="0" relativeIndent="0" shrinkToFit="0" textRotation="0" vertical="bottom" wrapText="0"/>
    </dxf>
    <dxf>
      <alignment horizontal="left" indent="0" relativeIndent="0" shrinkToFit="0" textRotation="0" vertical="bottom" wrapText="0"/>
    </dxf>
    <dxf>
      <alignment horizontal="left" indent="0" relativeIndent="0" shrinkToFit="0" textRotation="0" vertical="bottom" wrapText="0"/>
    </dxf>
    <dxf>
      <alignment horizontal="left" indent="0" relativeIndent="0" shrinkToFit="0" textRotation="0" vertical="bottom" wrapText="0"/>
    </dxf>
    <dxf>
      <alignment horizontal="left" indent="0" relativeIndent="0" shrinkToFit="0" textRotation="0" vertical="bottom" wrapText="0"/>
    </dxf>
    <dxf>
      <alignment horizontal="center" indent="0" relativeIndent="0" shrinkToFit="0" textRotation="0" vertical="bottom" wrapText="0"/>
    </dxf>
    <dxf>
      <alignment horizontal="center" indent="0" relativeIndent="0" shrinkToFit="0" textRotation="0" vertical="bottom" wrapText="0"/>
    </dxf>
    <dxf>
      <numFmt numFmtId="3" formatCode="#,##0"/>
    </dxf>
    <dxf>
      <alignment horizontal="center" indent="0" relativeIndent="0" shrinkToFit="0" textRotation="0" vertical="bottom" wrapText="0"/>
    </dxf>
    <dxf>
      <numFmt numFmtId="3" formatCode="#,##0"/>
    </dxf>
    <dxf>
      <alignment horizontal="center" indent="0" relativeIndent="0" shrinkToFit="0" textRotation="0" vertical="bottom" wrapText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pivotCacheDefinition" Target="pivotCache/pivotCacheDefinition1.xml"/><Relationship  Id="rId10" Type="http://schemas.openxmlformats.org/officeDocument/2006/relationships/worksheet" Target="worksheets/sheet9.xml"/><Relationship  Id="rId11" Type="http://schemas.openxmlformats.org/officeDocument/2006/relationships/theme" Target="theme/theme1.xml"/><Relationship  Id="rId12" Type="http://schemas.openxmlformats.org/officeDocument/2006/relationships/sharedStrings" Target="sharedStrings.xml"/><Relationship  Id="rId13" Type="http://schemas.openxmlformats.org/officeDocument/2006/relationships/styles" Target="styles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worksheet" Target="worksheets/sheet4.xml"/><Relationship  Id="rId6" Type="http://schemas.openxmlformats.org/officeDocument/2006/relationships/worksheet" Target="worksheets/sheet5.xml"/><Relationship  Id="rId7" Type="http://schemas.openxmlformats.org/officeDocument/2006/relationships/worksheet" Target="worksheets/sheet6.xml"/><Relationship  Id="rId8" Type="http://schemas.openxmlformats.org/officeDocument/2006/relationships/worksheet" Target="worksheets/sheet7.xml"/><Relationship  Id="rId9" Type="http://schemas.openxmlformats.org/officeDocument/2006/relationships/worksheet" Target="worksheets/sheet8.xml"/></Relationships>
</file>

<file path=xl/pivotCache/_rels/pivotCacheDefinition1.xml.rels><?xml version="1.0" encoding="UTF-8" standalone="yes"?><Relationships xmlns="http://schemas.openxmlformats.org/package/2006/relationships"><Relationship 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ia De Lima" refreshedDate="45631.61455150463" createdVersion="8" refreshedVersion="8" minRefreshableVersion="3" recordCount="66">
  <cacheSource type="worksheet">
    <worksheetSource ref="A1:CK67" sheet="Export"/>
  </cacheSource>
  <cacheFields count="89">
    <cacheField name="Ano/Mês" numFmtId="0">
      <sharedItems count="6">
        <s v="2024/05"/>
        <s v="2024/06"/>
        <s v="2024/07"/>
        <s v="2024/08"/>
        <s v="2024/09"/>
        <s v="2024/10"/>
      </sharedItems>
    </cacheField>
    <cacheField name="CNPJ" numFmtId="1">
      <sharedItems containsSemiMixedTypes="0" containsString="0" containsNumber="1" containsInteger="1" minValue="10261570000199" maxValue="29285269000143" count="11">
        <n v="10261570000199"/>
        <n v="18242999000140"/>
        <n v="19418959000170"/>
        <n v="22082397000140"/>
        <n v="22082397000221"/>
        <n v="22082397000302"/>
        <n v="22082397000655"/>
        <n v="22082397000817"/>
        <n v="22082397001031"/>
        <n v="22082397001201"/>
        <n v="29285269000143"/>
      </sharedItems>
    </cacheField>
    <cacheField name="Razão Social" numFmtId="0">
      <sharedItems count="11">
        <s v="DROGARIA UNIAO ALEGRIA LTDA"/>
        <s v="DROGARIA ULTRAPOPULAR ANGRA DOS REIS LTDA"/>
        <s v="DROGARIA ULTRAPOPULAR ITATIAIA II LTDA"/>
        <s v="DROGARIA ULTRAPOPULAR MANEJO LTDA - ME - MATRIZ"/>
        <s v="DROGARIA ULTRAPOPULAR MANEJO LTDA - ME - FILIAL 01"/>
        <s v="DROGARIA ULTRAPOPULAR MANEJO LTDA - ME - FILIAL 02"/>
        <s v="DROGARIA ULTRAPOPULAR MANEJO LTDA - ME - FILIAL 05"/>
        <s v="DROGARIA ULTRAPOPULAR MANEJO LTDA - ME - FILIAL 07"/>
        <s v="DROGARIA ULTRAPOPULAR MANEJO LTDA - ME - FILIAL 09"/>
        <s v="DROGARIA ULTRAPOPULAR MANEJO LTDA FILIAL 11"/>
        <s v="DROGARIA CAMPOS ELISEOS ME LTDA"/>
      </sharedItems>
    </cacheField>
    <cacheField name="Bandeira" numFmtId="0">
      <sharedItems/>
    </cacheField>
    <cacheField name="UF" numFmtId="0">
      <sharedItems/>
    </cacheField>
    <cacheField name="Status PAI" numFmtId="0">
      <sharedItems/>
    </cacheField>
    <cacheField name="Total de Vendas Realizadas" numFmtId="164">
      <sharedItems containsSemiMixedTypes="0" containsString="0" containsNumber="1" minValue="152819.21" maxValue="1053516.49"/>
    </cacheField>
    <cacheField name="Total de Desconto Concedido" numFmtId="164">
      <sharedItems containsSemiMixedTypes="0" containsString="0" containsNumber="1" minValue="105521.51" maxValue="522482.92"/>
    </cacheField>
    <cacheField name="% Desconto" numFmtId="9">
      <sharedItems containsSemiMixedTypes="0" containsString="0" containsNumber="1" minValue="0.3156981359512769" maxValue="0.4353178015125222"/>
    </cacheField>
    <cacheField name="Imposto Federal Pago" numFmtId="164">
      <sharedItems containsSemiMixedTypes="0" containsString="0" containsNumber="1" minValue="5426.29" maxValue="55000.27"/>
    </cacheField>
    <cacheField name="ICMS Pago" numFmtId="164">
      <sharedItems containsSemiMixedTypes="0" containsString="0" containsNumber="1" minValue="887.25" maxValue="22711.51"/>
    </cacheField>
    <cacheField name="Despesas com Pagto de Mercadorias (Cmv)" numFmtId="164">
      <sharedItems containsSemiMixedTypes="0" containsString="0" containsNumber="1" minValue="106298.73" maxValue="735826.62"/>
    </cacheField>
    <cacheField name="LUCRO BRUTO" numFmtId="164">
      <sharedItems containsSemiMixedTypes="0" containsString="0" containsNumber="1" minValue="46098.45000000001" maxValue="317689.87"/>
    </cacheField>
    <cacheField name="LUCRO BRUTO %" numFmtId="9">
      <sharedItems containsSemiMixedTypes="0" containsString="0" containsNumber="1" minValue="0.2569692478666896" maxValue="0.3451396354811267"/>
    </cacheField>
    <cacheField name="Taxas de Cartão de Crédito" numFmtId="164">
      <sharedItems containsSemiMixedTypes="0" containsString="0" containsNumber="1" minValue="1264.16" maxValue="21089.27"/>
    </cacheField>
    <cacheField name="Taxas de Convênios Terceirizados" numFmtId="164">
      <sharedItems containsSemiMixedTypes="0" containsString="0" containsNumber="1" minValue="0" maxValue="5955.9"/>
    </cacheField>
    <cacheField name="Perda de Cheques/Cartões" numFmtId="0">
      <sharedItems containsSemiMixedTypes="0" containsString="0" containsNumber="1" containsInteger="1" minValue="0" maxValue="0"/>
    </cacheField>
    <cacheField name="Salários Fixos + Horas Extras" numFmtId="0">
      <sharedItems containsSemiMixedTypes="0" containsString="0" containsNumber="1" minValue="14712.85" maxValue="65467.48"/>
    </cacheField>
    <cacheField name="Comissões e Premiações Sobre Vendas" numFmtId="0">
      <sharedItems containsSemiMixedTypes="0" containsString="0" containsNumber="1" minValue="2802.12" maxValue="32088.5"/>
    </cacheField>
    <cacheField name="Provisionamento de 13º Salário + 1/3 Férias" numFmtId="0">
      <sharedItems containsSemiMixedTypes="0" containsString="0" containsNumber="1" minValue="1229.13" maxValue="7273.44"/>
    </cacheField>
    <cacheField name="Benefícios" numFmtId="0">
      <sharedItems containsSemiMixedTypes="0" containsString="0" containsNumber="1" minValue="1870.92" maxValue="15823.85"/>
    </cacheField>
    <cacheField name="Encargos – INSS" numFmtId="0">
      <sharedItems containsSemiMixedTypes="0" containsString="0" containsNumber="1" minValue="0" maxValue="8093.62"/>
    </cacheField>
    <cacheField name="Encargos – FGTS" numFmtId="0">
      <sharedItems containsSemiMixedTypes="0" containsString="0" containsNumber="1" minValue="1140.22" maxValue="6064.63"/>
    </cacheField>
    <cacheField name="Pró-Labore" numFmtId="0">
      <sharedItems containsSemiMixedTypes="0" containsString="0" containsNumber="1" containsInteger="1" minValue="0" maxValue="1412"/>
    </cacheField>
    <cacheField name="Aluguel do POS de Cartão de Crédito" numFmtId="0">
      <sharedItems containsSemiMixedTypes="0" containsString="0" containsNumber="1" containsInteger="1" minValue="0" maxValue="0"/>
    </cacheField>
    <cacheField name="Escritório de Contabilidade" numFmtId="0">
      <sharedItems containsSemiMixedTypes="0" containsString="0" containsNumber="1" minValue="1564.22" maxValue="2594.06"/>
    </cacheField>
    <cacheField name="Assessoria Jurídica" numFmtId="0">
      <sharedItems containsSemiMixedTypes="0" containsString="0" containsNumber="1" minValue="217" maxValue="385.1"/>
    </cacheField>
    <cacheField name="Cursos, Treinamentos e Despesas de Viagem" numFmtId="0">
      <sharedItems containsSemiMixedTypes="0" containsString="0" containsNumber="1" minValue="0" maxValue="1425.96"/>
    </cacheField>
    <cacheField name="Entidades" numFmtId="0">
      <sharedItems containsSemiMixedTypes="0" containsString="0" containsNumber="1" minValue="1586.81" maxValue="2003.71"/>
    </cacheField>
    <cacheField name="Manutenção Software + Hardware" numFmtId="0">
      <sharedItems containsSemiMixedTypes="0" containsString="0" containsNumber="1" minValue="1742.11" maxValue="4557.9"/>
    </cacheField>
    <cacheField name="Outras Despesas com Assessorias" numFmtId="0">
      <sharedItems containsSemiMixedTypes="0" containsString="0" containsNumber="1" minValue="9.37" maxValue="9.41"/>
    </cacheField>
    <cacheField name="Seguros Da Empresa (Imóvel e Veículos)" numFmtId="0">
      <sharedItems containsSemiMixedTypes="0" containsString="0" containsNumber="1" minValue="0" maxValue="828.92"/>
    </cacheField>
    <cacheField name="Manutenção de Veículos" numFmtId="0">
      <sharedItems containsSemiMixedTypes="0" containsString="0" containsNumber="1" minValue="181.21" maxValue="5689.87"/>
    </cacheField>
    <cacheField name="Funcionários Terceirizados" numFmtId="0">
      <sharedItems containsSemiMixedTypes="0" containsString="0" containsNumber="1" minValue="123.58" maxValue="13320.34"/>
    </cacheField>
    <cacheField name="Aluguel + Condomínio + Iptu" numFmtId="0">
      <sharedItems containsSemiMixedTypes="0" containsString="0" containsNumber="1" minValue="4133" maxValue="42911.67"/>
    </cacheField>
    <cacheField name="Energia Elétrica" numFmtId="0">
      <sharedItems containsSemiMixedTypes="0" containsString="0" containsNumber="1" minValue="0" maxValue="9263.59"/>
    </cacheField>
    <cacheField name="Água / Esgoto" numFmtId="0">
      <sharedItems containsSemiMixedTypes="0" containsString="0" containsNumber="1" minValue="0" maxValue="227.47"/>
    </cacheField>
    <cacheField name="Telefone / Acesso à Internet" numFmtId="0">
      <sharedItems containsSemiMixedTypes="0" containsString="0" containsNumber="1" minValue="166.83" maxValue="954"/>
    </cacheField>
    <cacheField name="Material de Limpeza, Cabine de Aplicação e Uso Consumo" numFmtId="0">
      <sharedItems containsSemiMixedTypes="0" containsString="0" containsNumber="1" minValue="0" maxValue="11132.55"/>
    </cacheField>
    <cacheField name="Consumo Interno" numFmtId="0">
      <sharedItems containsSemiMixedTypes="0" containsString="0" containsNumber="1" minValue="171.18" maxValue="2870.21"/>
    </cacheField>
    <cacheField name="Manutenção de Instalações" numFmtId="0">
      <sharedItems containsSemiMixedTypes="0" containsString="0" containsNumber="1" minValue="239.95" maxValue="8653.5"/>
    </cacheField>
    <cacheField name="Taxas e Licenças Da Farmácia" numFmtId="0">
      <sharedItems containsSemiMixedTypes="0" containsString="0" containsNumber="1" minValue="0" maxValue="3825.22"/>
    </cacheField>
    <cacheField name="Promoção e Propaganda" numFmtId="164">
      <sharedItems containsSemiMixedTypes="0" containsString="0" containsNumber="1" minValue="811.93" maxValue="10386.53"/>
    </cacheField>
    <cacheField name="Outras Despesas de Funcionamento" numFmtId="164">
      <sharedItems containsSemiMixedTypes="0" containsString="0" containsNumber="1" minValue="277.48" maxValue="98397.73"/>
    </cacheField>
    <cacheField name="Juros de Cheque Especial, Juros de Duplicatas e Demais Juros" numFmtId="164">
      <sharedItems containsSemiMixedTypes="0" containsString="0" containsNumber="1" minValue="0" maxValue="226.16"/>
    </cacheField>
    <cacheField name="Tarifas Bancárias" numFmtId="164">
      <sharedItems containsSemiMixedTypes="0" containsString="0" containsNumber="1" minValue="0" maxValue="1145.74"/>
    </cacheField>
    <cacheField name="Receitas Não Operacionais" numFmtId="0">
      <sharedItems containsSemiMixedTypes="0" containsString="0" containsNumber="1" containsInteger="1" minValue="0" maxValue="0"/>
    </cacheField>
    <cacheField name="Lucro com Recarga de Celular e Cartão Telefônico" numFmtId="164">
      <sharedItems containsSemiMixedTypes="0" containsString="0" containsNumber="1" minValue="10.1" maxValue="296.54"/>
    </cacheField>
    <cacheField name="Verbas de Marketing Recebidas" numFmtId="164">
      <sharedItems containsSemiMixedTypes="0" containsString="0" containsNumber="1" minValue="0" maxValue="9131.91"/>
    </cacheField>
    <cacheField name="Produtos Vencidos" numFmtId="164">
      <sharedItems containsSemiMixedTypes="0" containsString="0" containsNumber="1" minValue="186.11" maxValue="7833.45"/>
    </cacheField>
    <cacheField name="Quebra de Inventário" numFmtId="164">
      <sharedItems containsSemiMixedTypes="0" containsString="0" containsNumber="1" minValue="0" maxValue="17356.41"/>
    </cacheField>
    <cacheField name="Investimento em Máquinas / Equipamentos / Móveis" numFmtId="164">
      <sharedItems containsSemiMixedTypes="0" containsString="0" containsNumber="1" minValue="0" maxValue="84417.2"/>
    </cacheField>
    <cacheField name="Reforma Imóvel" numFmtId="164">
      <sharedItems containsSemiMixedTypes="0" containsString="0" containsNumber="1" minValue="0" maxValue="112973.45"/>
    </cacheField>
    <cacheField name="Pagamento de Empréstimos / Financiamento" numFmtId="164">
      <sharedItems containsSemiMixedTypes="0" containsString="0" containsNumber="1" minValue="0" maxValue="5395.25"/>
    </cacheField>
    <cacheField name="Retirada de Lucro Pelo Proprietário" numFmtId="164">
      <sharedItems containsSemiMixedTypes="0" containsString="0" containsNumber="1" minValue="0" maxValue="43090.55"/>
    </cacheField>
    <cacheField name="Nº de Clientes" numFmtId="3">
      <sharedItems containsSemiMixedTypes="0" containsString="0" containsNumber="1" containsInteger="1" minValue="3567" maxValue="14855"/>
    </cacheField>
    <cacheField name="Nº de Colaboradores" numFmtId="0">
      <sharedItems containsSemiMixedTypes="0" containsString="0" containsNumber="1" containsInteger="1" minValue="7" maxValue="31"/>
    </cacheField>
    <cacheField name="Estoque a Preço de Venda" numFmtId="164">
      <sharedItems containsSemiMixedTypes="0" containsString="0" containsNumber="1" minValue="672502.11" maxValue="3251176.6"/>
    </cacheField>
    <cacheField name="M2 Área de Vendas" numFmtId="0">
      <sharedItems containsSemiMixedTypes="0" containsString="0" containsNumber="1" minValue="59" maxValue="203.45"/>
    </cacheField>
    <cacheField name="Venda Delivery" numFmtId="164">
      <sharedItems containsSemiMixedTypes="0" containsString="0" containsNumber="1" minValue="0" maxValue="148629.42"/>
    </cacheField>
    <cacheField name="Contas à Pagar Fornecedores em Aberto" numFmtId="164">
      <sharedItems containsSemiMixedTypes="0" containsString="0" containsNumber="1" minValue="167295.15" maxValue="1686275.85"/>
    </cacheField>
    <cacheField name="Unidades Vendidas" numFmtId="3">
      <sharedItems containsSemiMixedTypes="0" containsString="0" containsNumber="1" containsInteger="1" minValue="8642" maxValue="46434"/>
    </cacheField>
    <cacheField name="Faturamento em R$ - Medicamentos Propagados" numFmtId="164">
      <sharedItems containsSemiMixedTypes="0" containsString="0" containsNumber="1" minValue="44650.62" maxValue="367294.46"/>
    </cacheField>
    <cacheField name="Faturamento em R$ - Medicamentos Genéricos" numFmtId="164">
      <sharedItems containsSemiMixedTypes="0" containsString="0" containsNumber="1" minValue="30463.01" maxValue="181236.39"/>
    </cacheField>
    <cacheField name="Faturamento em R$ - Medicamentos Similares" numFmtId="164">
      <sharedItems containsSemiMixedTypes="0" containsString="0" containsNumber="1" minValue="12625.14" maxValue="70506.53"/>
    </cacheField>
    <cacheField name="Faturamento em R$ - Perfumaria" numFmtId="164">
      <sharedItems containsSemiMixedTypes="0" containsString="0" containsNumber="1" minValue="26789.87" maxValue="248148.27"/>
    </cacheField>
    <cacheField name="Faturamento em R$ - Outros Produtos" numFmtId="164">
      <sharedItems containsSemiMixedTypes="0" containsString="0" containsNumber="1" minValue="14584.18" maxValue="147085.6"/>
    </cacheField>
    <cacheField name="Quantidade de SKU Propagados" numFmtId="0">
      <sharedItems containsSemiMixedTypes="0" containsString="0" containsNumber="1" containsInteger="1" minValue="1114" maxValue="2851" count="64">
        <n v="1209"/>
        <n v="1240"/>
        <n v="1277"/>
        <n v="1251"/>
        <n v="1168"/>
        <n v="1114"/>
        <n v="2237"/>
        <n v="2221"/>
        <n v="2354"/>
        <n v="2331"/>
        <n v="2287"/>
        <n v="2285"/>
        <n v="1644"/>
        <n v="1724"/>
        <n v="1744"/>
        <n v="1757"/>
        <n v="1721"/>
        <n v="1752"/>
        <n v="2851"/>
        <n v="2826"/>
        <n v="2804"/>
        <n v="2792"/>
        <n v="2708"/>
        <n v="2731"/>
        <n v="1427"/>
        <n v="1449"/>
        <n v="1491"/>
        <n v="1417"/>
        <n v="1429"/>
        <n v="1433"/>
        <n v="1422"/>
        <n v="1437"/>
        <n v="1436"/>
        <n v="1464"/>
        <n v="1412"/>
        <n v="1378"/>
        <n v="1392"/>
        <n v="1379"/>
        <n v="1420"/>
        <n v="1391"/>
        <n v="1382"/>
        <n v="2133"/>
        <n v="2128"/>
        <n v="2136"/>
        <n v="2141"/>
        <n v="2089"/>
        <n v="2058"/>
        <n v="1356"/>
        <n v="1645"/>
        <n v="1652"/>
        <n v="1603"/>
        <n v="1596"/>
        <n v="1132"/>
        <n v="1131"/>
        <n v="1208"/>
        <n v="1236"/>
        <n v="1144"/>
        <n v="1152"/>
        <n v="2485"/>
        <n v="2524"/>
        <n v="2515"/>
        <n v="2561"/>
        <n v="2542"/>
        <n v="2511"/>
      </sharedItems>
    </cacheField>
    <cacheField name="Quantidade de SKU Genéricos" numFmtId="0">
      <sharedItems containsSemiMixedTypes="0" containsString="0" containsNumber="1" containsInteger="1" minValue="632" maxValue="1052"/>
    </cacheField>
    <cacheField name="Quantidade de SKU Perfumaria" numFmtId="0">
      <sharedItems containsSemiMixedTypes="0" containsString="0" containsNumber="1" containsInteger="1" minValue="589" maxValue="5660"/>
    </cacheField>
    <cacheField name="Quantidade de SKU Outros Produtos" numFmtId="0">
      <sharedItems containsSemiMixedTypes="0" containsString="0" containsNumber="1" containsInteger="1" minValue="271" maxValue="2045"/>
    </cacheField>
    <cacheField name="Quantidade de SKU Similares" numFmtId="0">
      <sharedItems containsSemiMixedTypes="0" containsString="0" containsNumber="1" containsInteger="1" minValue="242" maxValue="1309"/>
    </cacheField>
    <cacheField name="Despesa Fixa" numFmtId="164">
      <sharedItems containsSemiMixedTypes="0" containsString="0" containsNumber="1" minValue="54337.73000000001" maxValue="261161.63"/>
    </cacheField>
    <cacheField name="Despesa Fixa %" numFmtId="9">
      <sharedItems containsSemiMixedTypes="0" containsString="0" containsNumber="1" minValue="0.1576579186032512" maxValue="0.49602574887385875"/>
    </cacheField>
    <cacheField name="Despesas Extras" numFmtId="164">
      <sharedItems containsSemiMixedTypes="0" containsString="0" containsNumber="1" minValue="186.11" maxValue="203120.67"/>
    </cacheField>
    <cacheField name="Despesa Op. Funcionário" numFmtId="164">
      <sharedItems containsSemiMixedTypes="0" containsString="0" containsNumber="1" minValue="26526.989999999998" maxValue="128189.72"/>
    </cacheField>
    <cacheField name="Despesa Op. Funcionário %" numFmtId="9">
      <sharedItems containsSemiMixedTypes="0" containsString="0" containsNumber="1" minValue="0.10310510104295265" maxValue="0.29387552274358514"/>
    </cacheField>
    <cacheField name="Despesa Op. Funcionamento" numFmtId="164">
      <sharedItems containsSemiMixedTypes="0" containsString="0" containsNumber="1" minValue="11508.24" maxValue="154935.66"/>
    </cacheField>
    <cacheField name="Despesa Op. Funcionamento %" numFmtId="9">
      <sharedItems containsSemiMixedTypes="0" containsString="0" containsNumber="1" minValue="0.02854985974853232" maxValue="0.2051575054336019"/>
    </cacheField>
    <cacheField name="Despesa Op. Acessoria" numFmtId="164">
      <sharedItems containsSemiMixedTypes="0" containsString="0" containsNumber="1" minValue="5220.22" maxValue="9059.17"/>
    </cacheField>
    <cacheField name="Despesa Op. Proprietário" numFmtId="164">
      <sharedItems containsSemiMixedTypes="0" containsString="0" containsNumber="1" containsInteger="1" minValue="0" maxValue="1412"/>
    </cacheField>
    <cacheField name="Despesa Op. Administrativa" numFmtId="164">
      <sharedItems containsSemiMixedTypes="0" containsString="0" containsNumber="1" minValue="737.46" maxValue="13615.52"/>
    </cacheField>
    <cacheField name="Resultado Líquido" numFmtId="164">
      <sharedItems containsSemiMixedTypes="0" containsString="0" containsNumber="1" minValue="-69478.60000000003" maxValue="108557.71999999986"/>
    </cacheField>
    <cacheField name="Ticket Médio" numFmtId="164">
      <sharedItems containsSemiMixedTypes="0" containsString="0" containsNumber="1" minValue="35.78355479989537" maxValue="72.70562601028655"/>
    </cacheField>
    <cacheField name="Unidade Vendida Cliente" numFmtId="2">
      <sharedItems containsSemiMixedTypes="0" containsString="0" containsNumber="1" minValue="2.185261578848678" maxValue="3.128246974024208"/>
    </cacheField>
    <cacheField name="CMV %" numFmtId="9">
      <sharedItems containsSemiMixedTypes="0" containsString="0" containsNumber="1" minValue="0.6548603645188733" maxValue="0.7430307521333104"/>
    </cacheField>
    <cacheField name="Lucratividade %" numFmtId="9">
      <sharedItems containsSemiMixedTypes="0" containsString="0" containsNumber="1" minValue="-0.31610056685149374" maxValue="0.13854125054795546"/>
    </cacheField>
    <cacheField name="RESULTADO FINAL" numFmtId="164">
      <sharedItems containsSemiMixedTypes="0" containsString="0" containsNumber="1" minValue="-212692.62999999992" maxValue="81799.91999999978"/>
    </cacheField>
    <cacheField name="% RESULTADO FINAL" numFmtId="10">
      <sharedItems containsSemiMixedTypes="0" containsString="0" containsNumber="1" minValue="-0.41209733204410004" maxValue="0.12844059242915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6">
  <r>
    <x v="0"/>
    <x v="0"/>
    <x v="0"/>
    <s v="ULTRA POPULAR"/>
    <s v="RJ"/>
    <s v="APROVADO"/>
    <n v="260430.65"/>
    <n v="151777.38"/>
    <n v="0.368205781920357"/>
    <n v="7954.66"/>
    <n v="4412.66"/>
    <n v="175396.3"/>
    <n v="85034.35"/>
    <n v="0.3265143714843088"/>
    <n v="2337.03"/>
    <n v="235.11"/>
    <n v="0"/>
    <n v="32225.65"/>
    <n v="9926.1"/>
    <n v="2711.06"/>
    <n v="1870.92"/>
    <n v="0"/>
    <n v="2028.98"/>
    <n v="1412"/>
    <n v="0"/>
    <n v="1676.15"/>
    <n v="217"/>
    <n v="0"/>
    <n v="1586.81"/>
    <n v="3285.13"/>
    <n v="9.41"/>
    <n v="51.4"/>
    <n v="181.21"/>
    <n v="1320.34"/>
    <n v="4133"/>
    <n v="2495.16"/>
    <n v="0"/>
    <n v="431.66"/>
    <n v="2144.24"/>
    <n v="203.1"/>
    <n v="564.36"/>
    <n v="46.23"/>
    <n v="811.93"/>
    <n v="678.56"/>
    <n v="0"/>
    <n v="485.26"/>
    <n v="0"/>
    <n v="78.78"/>
    <n v="2364.87"/>
    <n v="533.49"/>
    <n v="0"/>
    <n v="46.72"/>
    <n v="550"/>
    <n v="0"/>
    <n v="47.52"/>
    <n v="6114"/>
    <n v="12"/>
    <n v="945689.62"/>
    <n v="65"/>
    <n v="0"/>
    <n v="384619.79"/>
    <n v="14818"/>
    <n v="83454.69"/>
    <n v="56375.12"/>
    <n v="22520.32"/>
    <n v="48215.51"/>
    <n v="26840.86"/>
    <x v="0"/>
    <n v="764"/>
    <n v="2015"/>
    <n v="760"/>
    <n v="292"/>
    <n v="70010.4"/>
    <n v="0.26882550114589043"/>
    <n v="1177.73"/>
    <n v="48762.71"/>
    <n v="0.18723875242794963"/>
    <n v="11508.24"/>
    <n v="0.04418926881302181"/>
    <n v="6774.5"/>
    <n v="1412"/>
    <n v="1552.9499999999998"/>
    <n v="2042.8799999999947"/>
    <n v="42.59578835459601"/>
    <n v="2.4236179260713118"/>
    <n v="0.6734856285156912"/>
    <n v="0.007844237995796557"/>
    <n v="865.1499999999946"/>
    <n v="0.003321997622015668"/>
  </r>
  <r>
    <x v="1"/>
    <x v="0"/>
    <x v="0"/>
    <s v="ULTRA POPULAR"/>
    <s v="RJ"/>
    <s v="APROVADO"/>
    <n v="274555.87"/>
    <n v="181586.45"/>
    <n v="0.3980916526228042"/>
    <n v="7898.6"/>
    <n v="3350.17"/>
    <n v="185112.51"/>
    <n v="89443.35999999999"/>
    <n v="0.32577471390431384"/>
    <n v="2292.23"/>
    <n v="0"/>
    <n v="0"/>
    <n v="24920.13"/>
    <n v="6487.12"/>
    <n v="2206.91"/>
    <n v="2524.21"/>
    <n v="263.56"/>
    <n v="2399.13"/>
    <n v="0"/>
    <n v="0"/>
    <n v="1714.22"/>
    <n v="385.1"/>
    <n v="59.31"/>
    <n v="1640.14"/>
    <n v="3058.68"/>
    <n v="9.37"/>
    <n v="17.46"/>
    <n v="596.42"/>
    <n v="123.58"/>
    <n v="4133"/>
    <n v="1945.23"/>
    <n v="0"/>
    <n v="483.23"/>
    <n v="3559.55"/>
    <n v="524.77"/>
    <n v="564.36"/>
    <n v="3825.22"/>
    <n v="1621.52"/>
    <n v="675.35"/>
    <n v="0"/>
    <n v="506.01"/>
    <n v="0"/>
    <n v="78.49"/>
    <n v="2364.87"/>
    <n v="1273.03"/>
    <n v="449.43"/>
    <n v="803.7"/>
    <n v="0"/>
    <n v="0"/>
    <n v="0"/>
    <n v="6277"/>
    <n v="10"/>
    <n v="885936.48"/>
    <n v="65"/>
    <n v="0"/>
    <n v="413240.71"/>
    <n v="14638"/>
    <n v="93855.55"/>
    <n v="59444.73"/>
    <n v="26876.03"/>
    <n v="41792.26"/>
    <n v="29293.06"/>
    <x v="1"/>
    <n v="752"/>
    <n v="2043"/>
    <n v="769"/>
    <n v="304"/>
    <n v="63737.57"/>
    <n v="0.23214790490547516"/>
    <n v="2526.16"/>
    <n v="38801.06"/>
    <n v="0.14132300285548438"/>
    <n v="17332.229999999996"/>
    <n v="0.06312824417121367"/>
    <n v="6866.820000000001"/>
    <n v="0"/>
    <n v="737.46"/>
    <n v="14102.140000000034"/>
    <n v="43.739982475704956"/>
    <n v="2.332005735223833"/>
    <n v="0.6742252860956861"/>
    <n v="0.0513634620159461"/>
    <n v="11575.980000000034"/>
    <n v="0.04216256603801636"/>
  </r>
  <r>
    <x v="2"/>
    <x v="0"/>
    <x v="0"/>
    <s v="ULTRA POPULAR"/>
    <s v="RJ"/>
    <s v="APROVADO"/>
    <n v="260086.7"/>
    <n v="162700.44"/>
    <n v="0.3848282613326413"/>
    <n v="27768.52"/>
    <n v="3720.81"/>
    <n v="175603.34"/>
    <n v="84483.36000000002"/>
    <n v="0.32482768246127164"/>
    <n v="2644.34"/>
    <n v="495.98"/>
    <n v="0"/>
    <n v="27521.42"/>
    <n v="10738.55"/>
    <n v="3057.63"/>
    <n v="2223.13"/>
    <n v="3563.41"/>
    <n v="1812.61"/>
    <n v="0"/>
    <n v="0"/>
    <n v="1714.22"/>
    <n v="385.09"/>
    <n v="0"/>
    <n v="1730.01"/>
    <n v="2557.55"/>
    <n v="9.41"/>
    <n v="0"/>
    <n v="462.6"/>
    <n v="6463.64"/>
    <n v="4383"/>
    <n v="1244.72"/>
    <n v="0"/>
    <n v="477.77"/>
    <n v="996.53"/>
    <n v="318.3"/>
    <n v="664.36"/>
    <n v="2014.21"/>
    <n v="2370.38"/>
    <n v="502.48"/>
    <n v="0"/>
    <n v="511.38"/>
    <n v="0"/>
    <n v="81.16"/>
    <n v="2192.68"/>
    <n v="440.57"/>
    <n v="17356.41"/>
    <n v="6.48"/>
    <n v="0"/>
    <n v="0"/>
    <n v="256.31"/>
    <n v="6027"/>
    <n v="12"/>
    <n v="893277.55"/>
    <n v="65"/>
    <n v="0"/>
    <n v="398006.65"/>
    <n v="13967"/>
    <n v="89112.99"/>
    <n v="57008.41"/>
    <n v="23885.85"/>
    <n v="41137"/>
    <n v="26169.44"/>
    <x v="2"/>
    <n v="785"/>
    <n v="1767"/>
    <n v="618"/>
    <n v="306"/>
    <n v="75211.02000000002"/>
    <n v="0.28917672453070464"/>
    <n v="18059.77"/>
    <n v="48916.75"/>
    <n v="0.1880786291648131"/>
    <n v="12971.75"/>
    <n v="0.049874714854700374"/>
    <n v="6396.28"/>
    <n v="0"/>
    <n v="6926.240000000001"/>
    <n v="-23594.849999999973"/>
    <n v="43.15359216857475"/>
    <n v="2.317405010784802"/>
    <n v="0.6751723175387284"/>
    <n v="-0.09071917172235247"/>
    <n v="-41654.61999999997"/>
    <n v="-0.16015667083322588"/>
  </r>
  <r>
    <x v="3"/>
    <x v="0"/>
    <x v="0"/>
    <s v="ULTRA POPULAR"/>
    <s v="RJ"/>
    <s v="APROVADO"/>
    <n v="257100.05"/>
    <n v="166455.88"/>
    <n v="0.3929962213018715"/>
    <n v="6894.7"/>
    <n v="2976.88"/>
    <n v="175228.99"/>
    <n v="81871.06"/>
    <n v="0.3184404670477505"/>
    <n v="2170.49"/>
    <n v="246.83"/>
    <n v="0"/>
    <n v="40707.04"/>
    <n v="6916.75"/>
    <n v="4522.55"/>
    <n v="3125.37"/>
    <n v="3376.32"/>
    <n v="2277.82"/>
    <n v="0"/>
    <n v="0"/>
    <n v="1714.22"/>
    <n v="385.09"/>
    <n v="35.31"/>
    <n v="1586.81"/>
    <n v="2597.43"/>
    <n v="9.41"/>
    <n v="0"/>
    <n v="291.16"/>
    <n v="7251.82"/>
    <n v="7490.21"/>
    <n v="1142.77"/>
    <n v="0"/>
    <n v="506.36"/>
    <n v="1432.93"/>
    <n v="266.9"/>
    <n v="1078.14"/>
    <n v="1280.56"/>
    <n v="2274.86"/>
    <n v="706.8"/>
    <n v="0"/>
    <n v="506.08"/>
    <n v="0"/>
    <n v="65.4"/>
    <n v="4427.6"/>
    <n v="1884.69"/>
    <n v="0"/>
    <n v="0"/>
    <n v="0"/>
    <n v="0"/>
    <n v="0"/>
    <n v="5975"/>
    <n v="11"/>
    <n v="821563.1"/>
    <n v="65"/>
    <n v="0"/>
    <n v="400244.37"/>
    <n v="13521"/>
    <n v="88348.24"/>
    <n v="54404.93"/>
    <n v="27052.49"/>
    <n v="40356.26"/>
    <n v="24052.39"/>
    <x v="3"/>
    <n v="763"/>
    <n v="1746"/>
    <n v="622"/>
    <n v="274"/>
    <n v="90976.63"/>
    <n v="0.3538569129021951"/>
    <n v="1884.69"/>
    <n v="60925.850000000006"/>
    <n v="0.23697331058473153"/>
    <n v="16179.529999999999"/>
    <n v="0.06293087068633398"/>
    <n v="6328.2699999999995"/>
    <n v="0"/>
    <n v="7542.98"/>
    <n v="-17407.550000000025"/>
    <n v="43.029297071129704"/>
    <n v="2.262928870292887"/>
    <n v="0.6815595329522495"/>
    <n v="-0.06770729916233009"/>
    <n v="-19292.240000000023"/>
    <n v="-0.07503786949866413"/>
  </r>
  <r>
    <x v="4"/>
    <x v="0"/>
    <x v="0"/>
    <s v="ULTRA POPULAR"/>
    <s v="RJ"/>
    <s v="APROVADO"/>
    <n v="241325.02"/>
    <n v="156399.61"/>
    <n v="0.3932359180270027"/>
    <n v="7237.49"/>
    <n v="4054.42"/>
    <n v="160059.97"/>
    <n v="81265.04999999999"/>
    <n v="0.33674523263273737"/>
    <n v="5551.63"/>
    <n v="471.82"/>
    <n v="0"/>
    <n v="26524.82"/>
    <n v="7929.45"/>
    <n v="2946.91"/>
    <n v="2524.1"/>
    <n v="3306.99"/>
    <n v="1833.14"/>
    <n v="0"/>
    <n v="0"/>
    <n v="1624"/>
    <n v="385.09"/>
    <n v="264"/>
    <n v="1586.81"/>
    <n v="2301.32"/>
    <n v="9.37"/>
    <n v="0"/>
    <n v="423.25"/>
    <n v="6681.8"/>
    <n v="7133"/>
    <n v="1870.33"/>
    <n v="0"/>
    <n v="365.6"/>
    <n v="0"/>
    <n v="171.2"/>
    <n v="1707.64"/>
    <n v="156.23"/>
    <n v="1699.39"/>
    <n v="513.94"/>
    <n v="0"/>
    <n v="518.96"/>
    <n v="0"/>
    <n v="64.45"/>
    <n v="1593.84"/>
    <n v="1364.46"/>
    <n v="0"/>
    <n v="0"/>
    <n v="41274.55"/>
    <n v="0"/>
    <n v="0"/>
    <n v="5754"/>
    <n v="11"/>
    <n v="804562.09"/>
    <n v="65"/>
    <n v="0"/>
    <n v="372744.42"/>
    <n v="12838"/>
    <n v="72535.6"/>
    <n v="54993.34"/>
    <n v="25187.99"/>
    <n v="42378.35"/>
    <n v="23552.18"/>
    <x v="4"/>
    <n v="735"/>
    <n v="1558"/>
    <n v="610"/>
    <n v="283"/>
    <n v="71958.37999999999"/>
    <n v="0.2981803544448064"/>
    <n v="42639.01"/>
    <n v="45065.40999999999"/>
    <n v="0.18674155709175944"/>
    <n v="13617.33"/>
    <n v="0.056427344334209525"/>
    <n v="6170.59"/>
    <n v="0"/>
    <n v="7105.05"/>
    <n v="-6869.360000000008"/>
    <n v="41.94039277024678"/>
    <n v="2.2311435523114356"/>
    <n v="0.6632547673672626"/>
    <n v="-0.028465179449689917"/>
    <n v="-49508.37000000001"/>
    <n v="-0.2051522465428575"/>
  </r>
  <r>
    <x v="5"/>
    <x v="0"/>
    <x v="0"/>
    <s v="ULTRA POPULAR"/>
    <s v="RJ"/>
    <s v="PENDENTE DE ANÁLISE PELO ANJO"/>
    <n v="228787.14"/>
    <n v="148876.91"/>
    <n v="0.3942046112146496"/>
    <n v="23065.2"/>
    <n v="2708.66"/>
    <n v="153089.46"/>
    <n v="75697.68000000002"/>
    <n v="0.3308651001975024"/>
    <n v="4773.75"/>
    <n v="301.25"/>
    <n v="0"/>
    <n v="23898.27"/>
    <n v="11582.97"/>
    <n v="2655.1"/>
    <n v="2897.24"/>
    <n v="3179.72"/>
    <n v="1812.69"/>
    <n v="0"/>
    <n v="0"/>
    <n v="1714.22"/>
    <n v="385.09"/>
    <n v="46.69"/>
    <n v="1586.81"/>
    <n v="3720.23"/>
    <n v="9.37"/>
    <n v="0"/>
    <n v="905.96"/>
    <n v="6481.82"/>
    <n v="7133"/>
    <n v="3133.84"/>
    <n v="20"/>
    <n v="652.13"/>
    <n v="1507.85"/>
    <n v="427.59"/>
    <n v="3730.34"/>
    <n v="46.23"/>
    <n v="2151.46"/>
    <n v="628.02"/>
    <n v="0"/>
    <n v="505.73"/>
    <n v="0"/>
    <n v="42.08"/>
    <n v="0"/>
    <n v="422.01"/>
    <n v="0"/>
    <n v="14598.79"/>
    <n v="43340.3"/>
    <n v="0"/>
    <n v="0"/>
    <n v="5333"/>
    <n v="10"/>
    <n v="672502.11"/>
    <n v="65"/>
    <n v="0"/>
    <n v="286472.67"/>
    <n v="11654"/>
    <n v="72089.31"/>
    <n v="53324.85"/>
    <n v="20555.79"/>
    <n v="35470.7"/>
    <n v="24317.01"/>
    <x v="5"/>
    <n v="652"/>
    <n v="589"/>
    <n v="271"/>
    <n v="1309"/>
    <n v="80306.64"/>
    <n v="0.35101028842792475"/>
    <n v="58361.100000000006"/>
    <n v="46025.99"/>
    <n v="0.20117385094284582"/>
    <n v="19430.46"/>
    <n v="0.08492811265528298"/>
    <n v="7462.41"/>
    <n v="0"/>
    <n v="7387.78"/>
    <n v="-35921.47"/>
    <n v="42.90027001687606"/>
    <n v="2.185261578848678"/>
    <n v="0.6691348998024975"/>
    <n v="-0.15700825667037055"/>
    <n v="-94282.57"/>
    <n v="-0.41209733204410004"/>
  </r>
  <r>
    <x v="0"/>
    <x v="1"/>
    <x v="1"/>
    <s v="ULTRA POPULAR"/>
    <s v="RJ"/>
    <s v="APROVADO"/>
    <n v="733788.72"/>
    <n v="478370.84"/>
    <n v="0.39464345766492986"/>
    <n v="11145.47"/>
    <n v="10324.82"/>
    <n v="498325.03"/>
    <n v="235463.68999999994"/>
    <n v="0.3208875846442556"/>
    <n v="6406.59"/>
    <n v="1007.06"/>
    <n v="0"/>
    <n v="56901.7"/>
    <n v="16550.78"/>
    <n v="4716.98"/>
    <n v="5884.9"/>
    <n v="2012.54"/>
    <n v="3129.2"/>
    <n v="1412"/>
    <n v="0"/>
    <n v="1771"/>
    <n v="217"/>
    <n v="0"/>
    <n v="1586.81"/>
    <n v="2425.87"/>
    <n v="9.37"/>
    <n v="113.97"/>
    <n v="181.21"/>
    <n v="13320.34"/>
    <n v="35286.22"/>
    <n v="6491.08"/>
    <n v="77.2"/>
    <n v="468.78"/>
    <n v="404.81"/>
    <n v="203.1"/>
    <n v="5131.12"/>
    <n v="147.14"/>
    <n v="1020.67"/>
    <n v="5990.16"/>
    <n v="0"/>
    <n v="314.17"/>
    <n v="0"/>
    <n v="14.95"/>
    <n v="7012.28"/>
    <n v="3353.71"/>
    <n v="0"/>
    <n v="74.48"/>
    <n v="788.5"/>
    <n v="0"/>
    <n v="133.94"/>
    <n v="12959"/>
    <n v="24"/>
    <n v="2145616.7"/>
    <n v="201"/>
    <n v="16664.47"/>
    <n v="965475.82"/>
    <n v="38396"/>
    <n v="225447.22"/>
    <n v="163537.65"/>
    <n v="49501.15"/>
    <n v="138680.84"/>
    <n v="85935.03"/>
    <x v="6"/>
    <n v="951"/>
    <n v="4139"/>
    <n v="1545"/>
    <n v="355"/>
    <n v="165453.94999999998"/>
    <n v="0.2254790043651802"/>
    <n v="4350.63"/>
    <n v="89196.09999999998"/>
    <n v="0.12155556166085515"/>
    <n v="55220.28"/>
    <n v="0.07525365066936433"/>
    <n v="6010.05"/>
    <n v="1412"/>
    <n v="13615.52"/>
    <n v="47838.860000000066"/>
    <n v="56.62386912570414"/>
    <n v="2.962882938498341"/>
    <n v="0.6791124153557444"/>
    <n v="0.06519432460068351"/>
    <n v="43488.23000000007"/>
    <n v="0.05926532912634589"/>
  </r>
  <r>
    <x v="1"/>
    <x v="1"/>
    <x v="1"/>
    <s v="ULTRA POPULAR"/>
    <s v="RJ"/>
    <s v="APROVADO"/>
    <n v="703114.52"/>
    <n v="483919.48"/>
    <n v="0.40767111978258413"/>
    <n v="8445.4"/>
    <n v="11360.37"/>
    <n v="479377.42"/>
    <n v="223737.10000000003"/>
    <n v="0.31820861841965664"/>
    <n v="5997.57"/>
    <n v="414.74"/>
    <n v="0"/>
    <n v="48822.63"/>
    <n v="16933.32"/>
    <n v="5101.91"/>
    <n v="7813"/>
    <n v="2160.81"/>
    <n v="3365.68"/>
    <n v="0"/>
    <n v="0"/>
    <n v="1714.22"/>
    <n v="385.09"/>
    <n v="59.31"/>
    <n v="1586.81"/>
    <n v="2393.75"/>
    <n v="9.37"/>
    <n v="17.46"/>
    <n v="596.42"/>
    <n v="12020.91"/>
    <n v="35286.22"/>
    <n v="4737.3"/>
    <n v="77.2"/>
    <n v="371.79"/>
    <n v="102.3"/>
    <n v="524.77"/>
    <n v="6223.36"/>
    <n v="56.14"/>
    <n v="1813.19"/>
    <n v="7681.17"/>
    <n v="0"/>
    <n v="355.31"/>
    <n v="0"/>
    <n v="14.46"/>
    <n v="7012.28"/>
    <n v="476.59"/>
    <n v="634.48"/>
    <n v="6.48"/>
    <n v="448.5"/>
    <n v="0"/>
    <n v="0"/>
    <n v="12392"/>
    <n v="26"/>
    <n v="2253225.77"/>
    <n v="201"/>
    <n v="15101.98"/>
    <n v="1054734.02"/>
    <n v="36335"/>
    <n v="217636.69"/>
    <n v="157439.74"/>
    <n v="50379.49"/>
    <n v="131952.86"/>
    <n v="87655.92"/>
    <x v="7"/>
    <n v="968"/>
    <n v="4333"/>
    <n v="1569"/>
    <n v="377"/>
    <n v="159854.12999999998"/>
    <n v="0.22735148464861737"/>
    <n v="1566.05"/>
    <n v="84197.34999999999"/>
    <n v="0.11974912706965572"/>
    <n v="56873.44"/>
    <n v="0.08088787584702418"/>
    <n v="6148.55"/>
    <n v="0"/>
    <n v="12634.789999999999"/>
    <n v="44336.320000000014"/>
    <n v="56.73938992898645"/>
    <n v="2.9321336346029696"/>
    <n v="0.6817913815803434"/>
    <n v="0.06305703941372169"/>
    <n v="42770.27000000001"/>
    <n v="0.06082973510488734"/>
  </r>
  <r>
    <x v="2"/>
    <x v="1"/>
    <x v="1"/>
    <s v="ULTRA POPULAR"/>
    <s v="RJ"/>
    <s v="APROVADO"/>
    <n v="786650.61"/>
    <n v="522482.92"/>
    <n v="0.39910590327634493"/>
    <n v="21134.72"/>
    <n v="8825.36"/>
    <n v="535312.35"/>
    <n v="251338.26"/>
    <n v="0.31950430954347064"/>
    <n v="6715.15"/>
    <n v="1634.38"/>
    <n v="0"/>
    <n v="44272.23"/>
    <n v="25041.2"/>
    <n v="2782.08"/>
    <n v="5630.06"/>
    <n v="2100.41"/>
    <n v="4047.81"/>
    <n v="0"/>
    <n v="0"/>
    <n v="1714.22"/>
    <n v="385.09"/>
    <n v="0"/>
    <n v="1729.99"/>
    <n v="2397.68"/>
    <n v="9.37"/>
    <n v="0"/>
    <n v="762.58"/>
    <n v="6463.64"/>
    <n v="35536.22"/>
    <n v="3617.64"/>
    <n v="77.2"/>
    <n v="385.3"/>
    <n v="1013.48"/>
    <n v="318.3"/>
    <n v="4539.8"/>
    <n v="56.14"/>
    <n v="1890.37"/>
    <n v="5201.22"/>
    <n v="0"/>
    <n v="409.34"/>
    <n v="0"/>
    <n v="10.1"/>
    <n v="5465.93"/>
    <n v="2723.76"/>
    <n v="5834.83"/>
    <n v="6.48"/>
    <n v="448.5"/>
    <n v="0"/>
    <n v="31085.15"/>
    <n v="13311"/>
    <n v="26"/>
    <n v="2184228.79"/>
    <n v="201"/>
    <n v="18769.17"/>
    <n v="993519.94"/>
    <n v="38914"/>
    <n v="237382.82"/>
    <n v="181236.39"/>
    <n v="51872.89"/>
    <n v="143809.06"/>
    <n v="103328.05"/>
    <x v="8"/>
    <n v="982"/>
    <n v="3993"/>
    <n v="1448"/>
    <n v="370"/>
    <n v="149972.03000000003"/>
    <n v="0.19064630230185678"/>
    <n v="40098.72"/>
    <n v="83873.79000000001"/>
    <n v="0.10662140082749064"/>
    <n v="52635.67000000001"/>
    <n v="0.06691111572391714"/>
    <n v="6236.349999999999"/>
    <n v="0"/>
    <n v="7226.22"/>
    <n v="68123.31000000006"/>
    <n v="59.097784539102996"/>
    <n v="2.9234467733453533"/>
    <n v="0.6804956904565294"/>
    <n v="0.0865991955437498"/>
    <n v="28024.590000000055"/>
    <n v="0.035625205960242066"/>
  </r>
  <r>
    <x v="3"/>
    <x v="1"/>
    <x v="1"/>
    <s v="ULTRA POPULAR"/>
    <s v="RJ"/>
    <s v="APROVADO"/>
    <n v="668827.28"/>
    <n v="442780.14"/>
    <n v="0.39832420334149987"/>
    <n v="14737.66"/>
    <n v="8118.49"/>
    <n v="454924.28"/>
    <n v="213903"/>
    <n v="0.3198179954621468"/>
    <n v="5992.27"/>
    <n v="1304.45"/>
    <n v="0"/>
    <n v="57104.68"/>
    <n v="23418.62"/>
    <n v="6344.33"/>
    <n v="7132.57"/>
    <n v="2146.13"/>
    <n v="6064.63"/>
    <n v="0"/>
    <n v="0"/>
    <n v="1714.22"/>
    <n v="385.09"/>
    <n v="35.31"/>
    <n v="1586.81"/>
    <n v="2437.49"/>
    <n v="9.37"/>
    <n v="0"/>
    <n v="441.16"/>
    <n v="7625.85"/>
    <n v="35643.46"/>
    <n v="2957.64"/>
    <n v="77.2"/>
    <n v="406.84"/>
    <n v="1388.24"/>
    <n v="266.9"/>
    <n v="1331.78"/>
    <n v="56.14"/>
    <n v="1688.19"/>
    <n v="8324.57"/>
    <n v="0"/>
    <n v="486.93"/>
    <n v="0"/>
    <n v="10.29"/>
    <n v="6537.42"/>
    <n v="2422.56"/>
    <n v="17077.44"/>
    <n v="2485.97"/>
    <n v="0"/>
    <n v="0"/>
    <n v="18091.52"/>
    <n v="12493"/>
    <n v="25"/>
    <n v="2059069.01"/>
    <n v="201"/>
    <n v="11528.67"/>
    <n v="938022.42"/>
    <n v="35653"/>
    <n v="206330.64"/>
    <n v="144000.88"/>
    <n v="49704.46"/>
    <n v="130848.6"/>
    <n v="82809.82"/>
    <x v="9"/>
    <n v="990"/>
    <n v="4201"/>
    <n v="1418"/>
    <n v="348"/>
    <n v="168587.22000000006"/>
    <n v="0.25206391102946646"/>
    <n v="40077.490000000005"/>
    <n v="102210.96000000002"/>
    <n v="0.15282115884986033"/>
    <n v="52140.95999999999"/>
    <n v="0.07795878182480832"/>
    <n v="6168.29"/>
    <n v="0"/>
    <n v="8067.01"/>
    <n v="21223.689999999984"/>
    <n v="53.53616265108461"/>
    <n v="2.8538381493636438"/>
    <n v="0.6801820045378532"/>
    <n v="0.031732691884218574"/>
    <n v="-18853.80000000002"/>
    <n v="-0.028189340602255367"/>
  </r>
  <r>
    <x v="4"/>
    <x v="1"/>
    <x v="1"/>
    <s v="ULTRA POPULAR"/>
    <s v="RJ"/>
    <s v="APROVADO"/>
    <n v="648248.11"/>
    <n v="404807.05"/>
    <n v="0.38441200933861813"/>
    <n v="8357"/>
    <n v="9367.96"/>
    <n v="439986.03"/>
    <n v="208262.07999999996"/>
    <n v="0.3212690893923315"/>
    <n v="15432.09"/>
    <n v="1143.7"/>
    <n v="0"/>
    <n v="52236.27"/>
    <n v="17266.11"/>
    <n v="5803.45"/>
    <n v="6479"/>
    <n v="1984.31"/>
    <n v="3681.28"/>
    <n v="0"/>
    <n v="0"/>
    <n v="1624"/>
    <n v="385.1"/>
    <n v="930.26"/>
    <n v="1586.81"/>
    <n v="2226.89"/>
    <n v="9.37"/>
    <n v="0"/>
    <n v="573.24"/>
    <n v="6713.82"/>
    <n v="35286.22"/>
    <n v="3006.83"/>
    <n v="77.2"/>
    <n v="271.38"/>
    <n v="485.76"/>
    <n v="171.18"/>
    <n v="2058.25"/>
    <n v="166.14"/>
    <n v="1262.73"/>
    <n v="5988.02"/>
    <n v="0"/>
    <n v="335.04"/>
    <n v="0"/>
    <n v="10.98"/>
    <n v="4004.91"/>
    <n v="4227.96"/>
    <n v="0"/>
    <n v="2360.92"/>
    <n v="0"/>
    <n v="0"/>
    <n v="15000"/>
    <n v="10942"/>
    <n v="26"/>
    <n v="1999227.43"/>
    <n v="201"/>
    <n v="30103.3"/>
    <n v="904639.62"/>
    <n v="32091"/>
    <n v="196637.99"/>
    <n v="134871.13"/>
    <n v="47742.62"/>
    <n v="128133.72"/>
    <n v="85865"/>
    <x v="10"/>
    <n v="929"/>
    <n v="4130"/>
    <n v="1403"/>
    <n v="320"/>
    <n v="150273.62000000002"/>
    <n v="0.23181497590482758"/>
    <n v="21588.88"/>
    <n v="87450.42"/>
    <n v="0.13490269952348954"/>
    <n v="48773.71000000001"/>
    <n v="0.07523926294208556"/>
    <n v="6762.429999999999"/>
    <n v="0"/>
    <n v="7287.0599999999995"/>
    <n v="27368.560000000016"/>
    <n v="59.24402394443429"/>
    <n v="2.932827636629501"/>
    <n v="0.6787309106076684"/>
    <n v="0.04221926694086315"/>
    <n v="5779.680000000015"/>
    <n v="0.008915845508597033"/>
  </r>
  <r>
    <x v="5"/>
    <x v="1"/>
    <x v="1"/>
    <s v="ULTRA POPULAR"/>
    <s v="RJ"/>
    <s v="APROVADO"/>
    <n v="706886.25"/>
    <n v="462148.49"/>
    <n v="0.3953248557865782"/>
    <n v="6447.21"/>
    <n v="8954.98"/>
    <n v="479387.22"/>
    <n v="227499.03000000003"/>
    <n v="0.321832586218787"/>
    <n v="6438.8"/>
    <n v="1264.43"/>
    <n v="0"/>
    <n v="65467.48"/>
    <n v="21119.43"/>
    <n v="7273.44"/>
    <n v="5168.57"/>
    <n v="2617.98"/>
    <n v="3555.4"/>
    <n v="0"/>
    <n v="0"/>
    <n v="1714.22"/>
    <n v="385.09"/>
    <n v="46.69"/>
    <n v="1586.81"/>
    <n v="2681.57"/>
    <n v="9.37"/>
    <n v="598.85"/>
    <n v="848.96"/>
    <n v="6481.82"/>
    <n v="35286.26"/>
    <n v="4374.66"/>
    <n v="78.08"/>
    <n v="562.91"/>
    <n v="2036.35"/>
    <n v="427.59"/>
    <n v="695.75"/>
    <n v="56.14"/>
    <n v="1564.79"/>
    <n v="6230.51"/>
    <n v="0"/>
    <n v="519.48"/>
    <n v="0"/>
    <n v="21.65"/>
    <n v="0"/>
    <n v="1896.24"/>
    <n v="0"/>
    <n v="2658.61"/>
    <n v="400"/>
    <n v="0"/>
    <n v="15000"/>
    <n v="12207"/>
    <n v="23"/>
    <n v="1756363.44"/>
    <n v="201"/>
    <n v="32058.13"/>
    <n v="939275.84"/>
    <n v="35582"/>
    <n v="208693.37"/>
    <n v="151837.47"/>
    <n v="52906.53"/>
    <n v="139594.02"/>
    <n v="91266.59"/>
    <x v="11"/>
    <n v="977"/>
    <n v="4148"/>
    <n v="1482"/>
    <n v="336"/>
    <n v="170868.72000000006"/>
    <n v="0.24172024848410908"/>
    <n v="19954.85"/>
    <n v="105202.3"/>
    <n v="0.14882493470484112"/>
    <n v="51313.04"/>
    <n v="0.07259023640649398"/>
    <n v="6423.75"/>
    <n v="0"/>
    <n v="7929.629999999999"/>
    <n v="33027.06000000007"/>
    <n v="57.90826984517081"/>
    <n v="2.9148849021053493"/>
    <n v="0.678167413781213"/>
    <n v="0.04672188771531498"/>
    <n v="13072.210000000072"/>
    <n v="0.018492664130898107"/>
  </r>
  <r>
    <x v="0"/>
    <x v="2"/>
    <x v="2"/>
    <s v="ULTRA POPULAR"/>
    <s v="RJ"/>
    <s v="APROVADO"/>
    <n v="568272.82"/>
    <n v="336133.53"/>
    <n v="0.37166206318653117"/>
    <n v="9204.4"/>
    <n v="6263.99"/>
    <n v="393406.89"/>
    <n v="174865.92999999993"/>
    <n v="0.3077147522205971"/>
    <n v="4045.73"/>
    <n v="609.57"/>
    <n v="0"/>
    <n v="39127.72"/>
    <n v="12381.04"/>
    <n v="3860.47"/>
    <n v="2728.15"/>
    <n v="3010.72"/>
    <n v="2425.08"/>
    <n v="1412"/>
    <n v="0"/>
    <n v="1737.79"/>
    <n v="217"/>
    <n v="0"/>
    <n v="1586.81"/>
    <n v="2180.83"/>
    <n v="9.37"/>
    <n v="92.09"/>
    <n v="238.21"/>
    <n v="1470.34"/>
    <n v="7033.63"/>
    <n v="3527.18"/>
    <n v="0"/>
    <n v="285.41"/>
    <n v="2183.21"/>
    <n v="220.35"/>
    <n v="990.36"/>
    <n v="0"/>
    <n v="2072.6"/>
    <n v="802.35"/>
    <n v="0"/>
    <n v="384.6"/>
    <n v="0"/>
    <n v="285.85"/>
    <n v="4844.21"/>
    <n v="1340.78"/>
    <n v="2732.12"/>
    <n v="1772.85"/>
    <n v="9417.05"/>
    <n v="0"/>
    <n v="12103.68"/>
    <n v="11803"/>
    <n v="17"/>
    <n v="1403958.58"/>
    <n v="125"/>
    <n v="14803.3"/>
    <n v="648261.6"/>
    <n v="30750"/>
    <n v="213119.17"/>
    <n v="112029.85"/>
    <n v="42358.16"/>
    <n v="99261.86"/>
    <n v="51221.19"/>
    <x v="12"/>
    <n v="865"/>
    <n v="3207"/>
    <n v="1001"/>
    <n v="306"/>
    <n v="89592.71000000002"/>
    <n v="0.1576579186032512"/>
    <n v="27366.48"/>
    <n v="63533.18000000001"/>
    <n v="0.11180049047568387"/>
    <n v="17115.09"/>
    <n v="0.03011773464724215"/>
    <n v="5731.8"/>
    <n v="1412"/>
    <n v="1800.6399999999999"/>
    <n v="69894.9899999999"/>
    <n v="48.146472930610855"/>
    <n v="2.605269846649157"/>
    <n v="0.6922852477794029"/>
    <n v="0.12299548304984903"/>
    <n v="42528.50999999991"/>
    <n v="0.07483819127580289"/>
  </r>
  <r>
    <x v="1"/>
    <x v="2"/>
    <x v="2"/>
    <s v="ULTRA POPULAR"/>
    <s v="RJ"/>
    <s v="APROVADO"/>
    <n v="522300.11"/>
    <n v="322759.26"/>
    <n v="0.3819367862875717"/>
    <n v="8986.49"/>
    <n v="7031.8"/>
    <n v="357206.5"/>
    <n v="165093.61"/>
    <n v="0.31608955625148155"/>
    <n v="3769.95"/>
    <n v="398.25"/>
    <n v="0"/>
    <n v="32232.06"/>
    <n v="15067.28"/>
    <n v="3318.65"/>
    <n v="4965.78"/>
    <n v="3989.04"/>
    <n v="2929.64"/>
    <n v="0"/>
    <n v="0"/>
    <n v="1714.22"/>
    <n v="385.09"/>
    <n v="59.31"/>
    <n v="1586.81"/>
    <n v="2144.21"/>
    <n v="9.37"/>
    <n v="17.46"/>
    <n v="702.58"/>
    <n v="170.91"/>
    <n v="7033.63"/>
    <n v="4307.65"/>
    <n v="0"/>
    <n v="402.81"/>
    <n v="3613.3"/>
    <n v="524.77"/>
    <n v="1334.44"/>
    <n v="0"/>
    <n v="3803.19"/>
    <n v="770.89"/>
    <n v="0"/>
    <n v="828.81"/>
    <n v="0"/>
    <n v="267.51"/>
    <n v="4844.21"/>
    <n v="289.4"/>
    <n v="1612.41"/>
    <n v="22098.73"/>
    <n v="5336.06"/>
    <n v="0"/>
    <n v="17585.12"/>
    <n v="11488"/>
    <n v="18"/>
    <n v="1431451.18"/>
    <n v="125"/>
    <n v="16240.28"/>
    <n v="717261.81"/>
    <n v="30027"/>
    <n v="176598.8"/>
    <n v="110778.03"/>
    <n v="42497.68"/>
    <n v="94563.09"/>
    <n v="48488.13"/>
    <x v="13"/>
    <n v="894"/>
    <n v="3522"/>
    <n v="1061"/>
    <n v="321"/>
    <n v="91083.09000000003"/>
    <n v="0.1743884181835612"/>
    <n v="46921.72"/>
    <n v="62502.450000000004"/>
    <n v="0.11966769449847522"/>
    <n v="21790.679999999997"/>
    <n v="0.04172061154649191"/>
    <n v="5899.009999999999"/>
    <n v="0"/>
    <n v="890.95"/>
    <n v="58106.939999999995"/>
    <n v="45.464842444289694"/>
    <n v="2.6137708913649025"/>
    <n v="0.6839104437485185"/>
    <n v="0.11125201562756706"/>
    <n v="11185.219999999994"/>
    <n v="0.021415312357487334"/>
  </r>
  <r>
    <x v="2"/>
    <x v="2"/>
    <x v="2"/>
    <s v="ULTRA POPULAR"/>
    <s v="RJ"/>
    <s v="APROVADO"/>
    <n v="541534.22"/>
    <n v="351664.13"/>
    <n v="0.39371336724927897"/>
    <n v="55000.27"/>
    <n v="5602.31"/>
    <n v="373710.76"/>
    <n v="167823.45999999996"/>
    <n v="0.30990370285371804"/>
    <n v="4423.7"/>
    <n v="984.07"/>
    <n v="0"/>
    <n v="40850.06"/>
    <n v="15274.53"/>
    <n v="4538.44"/>
    <n v="3635.07"/>
    <n v="3795.75"/>
    <n v="2890.26"/>
    <n v="0"/>
    <n v="0"/>
    <n v="1714.22"/>
    <n v="385.09"/>
    <n v="0"/>
    <n v="1729.99"/>
    <n v="2150.73"/>
    <n v="9.37"/>
    <n v="0"/>
    <n v="593.71"/>
    <n v="6613.64"/>
    <n v="7723.04"/>
    <n v="2645.21"/>
    <n v="0"/>
    <n v="398.93"/>
    <n v="1088.53"/>
    <n v="318.3"/>
    <n v="8653.5"/>
    <n v="0"/>
    <n v="4030.31"/>
    <n v="277.48"/>
    <n v="0"/>
    <n v="666.28"/>
    <n v="0"/>
    <n v="273.06"/>
    <n v="4172.75"/>
    <n v="1111"/>
    <n v="0"/>
    <n v="280.91"/>
    <n v="0"/>
    <n v="0"/>
    <n v="0"/>
    <n v="12037"/>
    <n v="18"/>
    <n v="1511589.39"/>
    <n v="125"/>
    <n v="15298.78"/>
    <n v="652609.12"/>
    <n v="30582"/>
    <n v="179221.62"/>
    <n v="117532.2"/>
    <n v="41200.8"/>
    <n v="98141.83"/>
    <n v="51600.46"/>
    <x v="14"/>
    <n v="882"/>
    <n v="3256"/>
    <n v="1030"/>
    <n v="315"/>
    <n v="109316.15999999999"/>
    <n v="0.20186380834806708"/>
    <n v="1391.91"/>
    <n v="70984.11"/>
    <n v="0.13107963888228524"/>
    <n v="25135.300000000003"/>
    <n v="0.04641498001732929"/>
    <n v="5989.400000000001"/>
    <n v="0"/>
    <n v="7207.35"/>
    <n v="-3723.5200000000586"/>
    <n v="44.98913516656974"/>
    <n v="2.540666278973166"/>
    <n v="0.690096297146282"/>
    <n v="-0.006875872036304666"/>
    <n v="-5115.4300000000585"/>
    <n v="-0.009446180520226513"/>
  </r>
  <r>
    <x v="3"/>
    <x v="2"/>
    <x v="2"/>
    <s v="ULTRA POPULAR"/>
    <s v="RJ"/>
    <s v="APROVADO"/>
    <n v="540207.77"/>
    <n v="340671.3"/>
    <n v="0.3867401458409041"/>
    <n v="6967.81"/>
    <n v="5140.54"/>
    <n v="375329.46"/>
    <n v="164878.31"/>
    <n v="0.3052127702643003"/>
    <n v="4029.19"/>
    <n v="707.49"/>
    <n v="0"/>
    <n v="39399.7"/>
    <n v="15193.37"/>
    <n v="4377.31"/>
    <n v="5467.28"/>
    <n v="3498.97"/>
    <n v="4138.67"/>
    <n v="0"/>
    <n v="0"/>
    <n v="1714.22"/>
    <n v="385.09"/>
    <n v="35.31"/>
    <n v="1589.92"/>
    <n v="2299.85"/>
    <n v="9.37"/>
    <n v="0"/>
    <n v="344.29"/>
    <n v="7401.85"/>
    <n v="7981.69"/>
    <n v="1762.94"/>
    <n v="0"/>
    <n v="425.81"/>
    <n v="1553.21"/>
    <n v="942.4"/>
    <n v="676.31"/>
    <n v="0"/>
    <n v="3678.19"/>
    <n v="1669.49"/>
    <n v="0"/>
    <n v="726.14"/>
    <n v="0"/>
    <n v="284.52"/>
    <n v="5235.51"/>
    <n v="698.99"/>
    <n v="3251.26"/>
    <n v="624.28"/>
    <n v="0"/>
    <n v="0"/>
    <n v="0"/>
    <n v="11971"/>
    <n v="19"/>
    <n v="1449279.22"/>
    <n v="125"/>
    <n v="21019.16"/>
    <n v="653162.5"/>
    <n v="30108"/>
    <n v="182545.29"/>
    <n v="112815.46"/>
    <n v="40427.97"/>
    <n v="101317.77"/>
    <n v="48502.75"/>
    <x v="15"/>
    <n v="850"/>
    <n v="3352"/>
    <n v="983"/>
    <n v="306"/>
    <n v="104545.23999999999"/>
    <n v="0.1935278346699826"/>
    <n v="4574.53"/>
    <n v="72075.29999999999"/>
    <n v="0.13342144264233738"/>
    <n v="18690.039999999997"/>
    <n v="0.0345978733330696"/>
    <n v="6033.759999999999"/>
    <n v="0"/>
    <n v="7746.14"/>
    <n v="48281.929999999935"/>
    <n v="45.126369559769444"/>
    <n v="2.515078105421435"/>
    <n v="0.6947872297356996"/>
    <n v="0.08937659300975981"/>
    <n v="43707.399999999936"/>
    <n v="0.08090849933535746"/>
  </r>
  <r>
    <x v="4"/>
    <x v="2"/>
    <x v="2"/>
    <s v="ULTRA POPULAR"/>
    <s v="RJ"/>
    <s v="APROVADO"/>
    <n v="508140.85"/>
    <n v="315713.32"/>
    <n v="0.38321505370301157"/>
    <n v="8741.55"/>
    <n v="7191.19"/>
    <n v="344809.61"/>
    <n v="163331.24"/>
    <n v="0.3214290683380405"/>
    <n v="6106.93"/>
    <n v="607.35"/>
    <n v="0"/>
    <n v="38639.39"/>
    <n v="16555.29"/>
    <n v="4292.84"/>
    <n v="4009.5"/>
    <n v="3866.56"/>
    <n v="5111.71"/>
    <n v="0"/>
    <n v="0"/>
    <n v="1624"/>
    <n v="385.09"/>
    <n v="0"/>
    <n v="1586.81"/>
    <n v="2082.49"/>
    <n v="9.37"/>
    <n v="0"/>
    <n v="423.25"/>
    <n v="6831.82"/>
    <n v="7624.48"/>
    <n v="2704.82"/>
    <n v="0"/>
    <n v="288.38"/>
    <n v="0"/>
    <n v="171.18"/>
    <n v="239.95"/>
    <n v="110"/>
    <n v="2285.22"/>
    <n v="1083.32"/>
    <n v="0"/>
    <n v="802.47"/>
    <n v="0"/>
    <n v="272.8"/>
    <n v="2994.86"/>
    <n v="938.41"/>
    <n v="0"/>
    <n v="274.43"/>
    <n v="0"/>
    <n v="0"/>
    <n v="0"/>
    <n v="11397"/>
    <n v="18"/>
    <n v="1512269.23"/>
    <n v="125"/>
    <n v="22327.93"/>
    <n v="670396.82"/>
    <n v="28020"/>
    <n v="172344.72"/>
    <n v="106727.85"/>
    <n v="34526.65"/>
    <n v="100844.13"/>
    <n v="48420.31"/>
    <x v="16"/>
    <n v="840"/>
    <n v="3263"/>
    <n v="1015"/>
    <n v="307"/>
    <n v="99925.47"/>
    <n v="0.19664915741373679"/>
    <n v="1212.84"/>
    <n v="72475.29000000001"/>
    <n v="0.14262834802594598"/>
    <n v="14507.349999999999"/>
    <n v="0.02854985974853232"/>
    <n v="5687.759999999999"/>
    <n v="0"/>
    <n v="7255.07"/>
    <n v="43223.94000000001"/>
    <n v="44.585491796086686"/>
    <n v="2.4585417215056595"/>
    <n v="0.6785709316619595"/>
    <n v="0.08506291119873557"/>
    <n v="42011.10000000001"/>
    <n v="0.08267609266210346"/>
  </r>
  <r>
    <x v="5"/>
    <x v="2"/>
    <x v="2"/>
    <s v="ULTRA POPULAR"/>
    <s v="RJ"/>
    <s v="APROVADO"/>
    <n v="539571.76"/>
    <n v="345280.31"/>
    <n v="0.3902124679439355"/>
    <n v="50668.49"/>
    <n v="4923.77"/>
    <n v="365827.61"/>
    <n v="173744.15000000002"/>
    <n v="0.3220037868549681"/>
    <n v="4202.48"/>
    <n v="918.11"/>
    <n v="0"/>
    <n v="44874.48"/>
    <n v="14266.39"/>
    <n v="4985.55"/>
    <n v="3848.94"/>
    <n v="3957.16"/>
    <n v="2784.87"/>
    <n v="0"/>
    <n v="0"/>
    <n v="1714.22"/>
    <n v="385.09"/>
    <n v="106.89"/>
    <n v="1586.81"/>
    <n v="2554.59"/>
    <n v="9.37"/>
    <n v="352.28"/>
    <n v="656.27"/>
    <n v="6631.82"/>
    <n v="7624.48"/>
    <n v="4370.11"/>
    <n v="0"/>
    <n v="576.94"/>
    <n v="1596.03"/>
    <n v="427.59"/>
    <n v="677.45"/>
    <n v="0"/>
    <n v="2151.04"/>
    <n v="548.22"/>
    <n v="66.72"/>
    <n v="778.02"/>
    <n v="0"/>
    <n v="296.54"/>
    <n v="0"/>
    <n v="1361.35"/>
    <n v="0"/>
    <n v="274.43"/>
    <n v="0"/>
    <n v="0"/>
    <n v="0"/>
    <n v="11716"/>
    <n v="19"/>
    <n v="1397206"/>
    <n v="125"/>
    <n v="29831.27"/>
    <n v="667660.48"/>
    <n v="29804"/>
    <n v="178395.01"/>
    <n v="117559.82"/>
    <n v="38080.87"/>
    <n v="101328.51"/>
    <n v="52070.11"/>
    <x v="17"/>
    <n v="890"/>
    <n v="3248"/>
    <n v="1044"/>
    <n v="303"/>
    <n v="106686.58999999997"/>
    <n v="0.19772456216018416"/>
    <n v="1635.78"/>
    <n v="74717.39"/>
    <n v="0.1384753531207786"/>
    <n v="17971.860000000004"/>
    <n v="0.03330763641151272"/>
    <n v="6356.97"/>
    <n v="0"/>
    <n v="7640.37"/>
    <n v="5796.510000000001"/>
    <n v="46.054264254011606"/>
    <n v="2.5438716285421648"/>
    <n v="0.6779962131450319"/>
    <n v="0.01074279721384974"/>
    <n v="4160.730000000001"/>
    <n v="0.007711170799598558"/>
  </r>
  <r>
    <x v="0"/>
    <x v="3"/>
    <x v="3"/>
    <s v="ULTRA POPULAR"/>
    <s v="RJ"/>
    <s v="APROVADO"/>
    <n v="1053516.49"/>
    <n v="486032.86"/>
    <n v="0.3156981359512769"/>
    <n v="8086.93"/>
    <n v="16229.56"/>
    <n v="735826.62"/>
    <n v="317689.87"/>
    <n v="0.3015518722445436"/>
    <n v="11989.5"/>
    <n v="4176.34"/>
    <n v="0"/>
    <n v="62086.54"/>
    <n v="24065.98"/>
    <n v="5816.76"/>
    <n v="10805.13"/>
    <n v="5634.48"/>
    <n v="4597.23"/>
    <n v="1412"/>
    <n v="0"/>
    <n v="2594.06"/>
    <n v="217"/>
    <n v="156.44"/>
    <n v="1586.81"/>
    <n v="3092.24"/>
    <n v="9.37"/>
    <n v="711.42"/>
    <n v="958.61"/>
    <n v="2338.54"/>
    <n v="25558.56"/>
    <n v="9024.99"/>
    <n v="0"/>
    <n v="954"/>
    <n v="7649.53"/>
    <n v="2870.21"/>
    <n v="3482.88"/>
    <n v="54.08"/>
    <n v="10386.53"/>
    <n v="3101.42"/>
    <n v="0"/>
    <n v="530.46"/>
    <n v="0"/>
    <n v="37.76"/>
    <n v="9131.91"/>
    <n v="2151.21"/>
    <n v="0"/>
    <n v="4088.72"/>
    <n v="1478.89"/>
    <n v="1935.99"/>
    <n v="5227.21"/>
    <n v="14855"/>
    <n v="30"/>
    <n v="3120577.46"/>
    <n v="188"/>
    <n v="0"/>
    <n v="1655501.1"/>
    <n v="46434"/>
    <n v="367294.46"/>
    <n v="163300.12"/>
    <n v="62724.31"/>
    <n v="248148.27"/>
    <n v="135620.18"/>
    <x v="18"/>
    <n v="978"/>
    <n v="5660"/>
    <n v="2002"/>
    <n v="362"/>
    <n v="189164.80999999997"/>
    <n v="0.17955562328217564"/>
    <n v="14882.02"/>
    <n v="113006.12"/>
    <n v="0.10726563947755578"/>
    <n v="63082.2"/>
    <n v="0.059877752838970746"/>
    <n v="7655.919999999999"/>
    <n v="1412"/>
    <n v="4008.5699999999997"/>
    <n v="96681.93999999978"/>
    <n v="70.91999259508583"/>
    <n v="3.125816223493773"/>
    <n v="0.6984481277554564"/>
    <n v="0.0917706945431863"/>
    <n v="81799.91999999978"/>
    <n v="0.0776446508207952"/>
  </r>
  <r>
    <x v="1"/>
    <x v="3"/>
    <x v="3"/>
    <s v="ULTRA POPULAR"/>
    <s v="RJ"/>
    <s v="APROVADO"/>
    <n v="1013373.45"/>
    <n v="482748.8"/>
    <n v="0.3226666804801546"/>
    <n v="8526.06"/>
    <n v="22711.51"/>
    <n v="704919.06"/>
    <n v="308454.3899999999"/>
    <n v="0.30438372941387"/>
    <n v="10813.1"/>
    <n v="4479.09"/>
    <n v="0"/>
    <n v="53348.68"/>
    <n v="28045.18"/>
    <n v="5550.08"/>
    <n v="12274.81"/>
    <n v="6805"/>
    <n v="4525.5"/>
    <n v="0"/>
    <n v="0"/>
    <n v="2473.22"/>
    <n v="385.09"/>
    <n v="59.29"/>
    <n v="1640.16"/>
    <n v="3055.59"/>
    <n v="9.41"/>
    <n v="680.48"/>
    <n v="5689.87"/>
    <n v="665.78"/>
    <n v="25342.76"/>
    <n v="6951.88"/>
    <n v="0"/>
    <n v="825.42"/>
    <n v="11132.55"/>
    <n v="1035.33"/>
    <n v="1505.4"/>
    <n v="1858.59"/>
    <n v="4291.5"/>
    <n v="17523.51"/>
    <n v="175.06"/>
    <n v="567.55"/>
    <n v="0"/>
    <n v="42.28"/>
    <n v="9131.91"/>
    <n v="5279.71"/>
    <n v="3182.88"/>
    <n v="6844.49"/>
    <n v="0"/>
    <n v="240.05"/>
    <n v="5774.76"/>
    <n v="14706"/>
    <n v="31"/>
    <n v="3168820.39"/>
    <n v="188"/>
    <n v="224.41"/>
    <n v="1686275.85"/>
    <n v="46004"/>
    <n v="339529.28"/>
    <n v="154944.35"/>
    <n v="70506.53"/>
    <n v="233955.88"/>
    <n v="139717.5"/>
    <x v="19"/>
    <n v="1021"/>
    <n v="5640"/>
    <n v="2045"/>
    <n v="388"/>
    <n v="195675.08"/>
    <n v="0.19309276358088914"/>
    <n v="21321.89"/>
    <n v="110549.25"/>
    <n v="0.10909033584805286"/>
    <n v="70466.94"/>
    <n v="0.06953699053394384"/>
    <n v="7622.76"/>
    <n v="0"/>
    <n v="7036.13"/>
    <n v="74681.12999999987"/>
    <n v="68.90884332925336"/>
    <n v="3.128246974024208"/>
    <n v="0.69561627058613"/>
    <n v="0.0736955660324433"/>
    <n v="53359.239999999874"/>
    <n v="0.05265506018536392"/>
  </r>
  <r>
    <x v="2"/>
    <x v="3"/>
    <x v="3"/>
    <s v="ULTRA POPULAR"/>
    <s v="RJ"/>
    <s v="APROVADO"/>
    <n v="1006558.91"/>
    <n v="490315.77"/>
    <n v="0.327559665849916"/>
    <n v="16584.49"/>
    <n v="11415"/>
    <n v="705684.21"/>
    <n v="300874.70000000007"/>
    <n v="0.2989141489989891"/>
    <n v="12120.48"/>
    <n v="546.19"/>
    <n v="0"/>
    <n v="62920.89"/>
    <n v="32088.5"/>
    <n v="6990.51"/>
    <n v="15823.85"/>
    <n v="5842.15"/>
    <n v="4523.82"/>
    <n v="0"/>
    <n v="0"/>
    <n v="2473.26"/>
    <n v="385.09"/>
    <n v="0"/>
    <n v="1729.99"/>
    <n v="3137.25"/>
    <n v="9.37"/>
    <n v="828.77"/>
    <n v="462.58"/>
    <n v="2782.44"/>
    <n v="24610.97"/>
    <n v="4851.29"/>
    <n v="0"/>
    <n v="631.03"/>
    <n v="3981.99"/>
    <n v="318.32"/>
    <n v="2094.97"/>
    <n v="46.23"/>
    <n v="4472.7"/>
    <n v="20110.54"/>
    <n v="0"/>
    <n v="866.68"/>
    <n v="0"/>
    <n v="36.39"/>
    <n v="8288.79"/>
    <n v="7833.45"/>
    <n v="0"/>
    <n v="10141.89"/>
    <n v="0"/>
    <n v="5395.21"/>
    <n v="43090.55"/>
    <n v="14340"/>
    <n v="25"/>
    <n v="3007639.62"/>
    <n v="188"/>
    <n v="92.9"/>
    <n v="1520862.09"/>
    <n v="44647"/>
    <n v="355575.96"/>
    <n v="155623.91"/>
    <n v="67175.94"/>
    <n v="223565.58"/>
    <n v="138412.14"/>
    <x v="20"/>
    <n v="1052"/>
    <n v="5552"/>
    <n v="1996"/>
    <n v="385"/>
    <n v="201116.51"/>
    <n v="0.19980600042574756"/>
    <n v="66461.1"/>
    <n v="128189.72"/>
    <n v="0.12735441386138044"/>
    <n v="61118.04"/>
    <n v="0.060719784398908155"/>
    <n v="7734.96"/>
    <n v="0"/>
    <n v="4073.79"/>
    <n v="66550.53000000006"/>
    <n v="70.19239260808926"/>
    <n v="3.113458856345886"/>
    <n v="0.701085851001011"/>
    <n v="0.0661168753649998"/>
    <n v="89.43000000005122"/>
    <n v="0.00008884725882566697"/>
  </r>
  <r>
    <x v="3"/>
    <x v="3"/>
    <x v="3"/>
    <s v="ULTRA POPULAR"/>
    <s v="RJ"/>
    <s v="APROVADO"/>
    <n v="992047.91"/>
    <n v="484802.56"/>
    <n v="0.3282678712896371"/>
    <n v="15525.74"/>
    <n v="13257.8"/>
    <n v="697475.77"/>
    <n v="294572.14"/>
    <n v="0.2969333809694735"/>
    <n v="10508.04"/>
    <n v="1118.08"/>
    <n v="0"/>
    <n v="48598.77"/>
    <n v="26067.44"/>
    <n v="5399.32"/>
    <n v="12687.45"/>
    <n v="5347.52"/>
    <n v="4184.7"/>
    <n v="0"/>
    <n v="0"/>
    <n v="2473.26"/>
    <n v="385.09"/>
    <n v="35.28"/>
    <n v="1586.81"/>
    <n v="4093.13"/>
    <n v="9.37"/>
    <n v="828.77"/>
    <n v="2631.08"/>
    <n v="3401.05"/>
    <n v="23974.32"/>
    <n v="5356.79"/>
    <n v="0"/>
    <n v="657.79"/>
    <n v="2301.58"/>
    <n v="2137.82"/>
    <n v="3323.43"/>
    <n v="1298.91"/>
    <n v="3443.32"/>
    <n v="23166.78"/>
    <n v="226.16"/>
    <n v="390.23"/>
    <n v="0"/>
    <n v="46.01"/>
    <n v="4258.67"/>
    <n v="2729.16"/>
    <n v="0"/>
    <n v="4773.26"/>
    <n v="0"/>
    <n v="0"/>
    <n v="35609.87"/>
    <n v="14512"/>
    <n v="27"/>
    <n v="3251176.6"/>
    <n v="188"/>
    <n v="0"/>
    <n v="1571564.19"/>
    <n v="43424"/>
    <n v="352397.45"/>
    <n v="159808.79"/>
    <n v="67620.65"/>
    <n v="215597.02"/>
    <n v="134606.88"/>
    <x v="21"/>
    <n v="1020"/>
    <n v="5038"/>
    <n v="1726"/>
    <n v="366"/>
    <n v="183389.78"/>
    <n v="0.18485980178114583"/>
    <n v="43112.29"/>
    <n v="102285.2"/>
    <n v="0.10310510104295265"/>
    <n v="65660.74"/>
    <n v="0.06618706550170546"/>
    <n v="8582.94"/>
    <n v="0"/>
    <n v="6860.9"/>
    <n v="74460.98999999999"/>
    <n v="68.3605230154355"/>
    <n v="2.992282249173098"/>
    <n v="0.7030666190305265"/>
    <n v="0.07505785683274106"/>
    <n v="31348.69999999999"/>
    <n v="0.03159998593213103"/>
  </r>
  <r>
    <x v="4"/>
    <x v="3"/>
    <x v="3"/>
    <s v="ULTRA POPULAR"/>
    <s v="RJ"/>
    <s v="APROVADO"/>
    <n v="989523.57"/>
    <n v="501571.89"/>
    <n v="0.3363781216260963"/>
    <n v="7608.5"/>
    <n v="12034.02"/>
    <n v="685211.71"/>
    <n v="304311.86"/>
    <n v="0.307533715442473"/>
    <n v="21089.27"/>
    <n v="5955.9"/>
    <n v="0"/>
    <n v="49818.01"/>
    <n v="30301.07"/>
    <n v="5534.78"/>
    <n v="13417.03"/>
    <n v="4927.12"/>
    <n v="4334.8"/>
    <n v="0"/>
    <n v="0"/>
    <n v="2473.22"/>
    <n v="385.09"/>
    <n v="1425.96"/>
    <n v="1586.81"/>
    <n v="3174.86"/>
    <n v="9.37"/>
    <n v="828.92"/>
    <n v="824.87"/>
    <n v="2764.97"/>
    <n v="24302.04"/>
    <n v="6184.28"/>
    <n v="0"/>
    <n v="450.44"/>
    <n v="1212.78"/>
    <n v="1808.55"/>
    <n v="3355.12"/>
    <n v="1815.76"/>
    <n v="2940.94"/>
    <n v="22067.9"/>
    <n v="0"/>
    <n v="439.19"/>
    <n v="0"/>
    <n v="34.19"/>
    <n v="6618.06"/>
    <n v="4337.95"/>
    <n v="0"/>
    <n v="1229.94"/>
    <n v="0"/>
    <n v="0"/>
    <n v="39711.64"/>
    <n v="13610"/>
    <n v="28"/>
    <n v="2914047.36"/>
    <n v="188"/>
    <n v="0"/>
    <n v="1626162.88"/>
    <n v="42366"/>
    <n v="338783.02"/>
    <n v="159770.95"/>
    <n v="67771.57"/>
    <n v="216100.19"/>
    <n v="146031.53"/>
    <x v="22"/>
    <n v="980"/>
    <n v="4931"/>
    <n v="1734"/>
    <n v="365"/>
    <n v="185944.68999999997"/>
    <n v="0.1879133510685349"/>
    <n v="45279.53"/>
    <n v="108332.81"/>
    <n v="0.1094797671166135"/>
    <n v="64137.810000000005"/>
    <n v="0.06481685928916277"/>
    <n v="9055.310000000001"/>
    <n v="0"/>
    <n v="4418.76"/>
    <n v="77892.53999999998"/>
    <n v="72.70562601028655"/>
    <n v="3.1128581925055108"/>
    <n v="0.692466284557527"/>
    <n v="0.07871721539690053"/>
    <n v="32613.00999999998"/>
    <n v="0.03295829527335057"/>
  </r>
  <r>
    <x v="5"/>
    <x v="3"/>
    <x v="3"/>
    <s v="ULTRA POPULAR"/>
    <s v="RJ"/>
    <s v="APROVADO"/>
    <n v="996044.4"/>
    <n v="513743.54"/>
    <n v="0.3402752972049836"/>
    <n v="12814.65"/>
    <n v="7198.29"/>
    <n v="687529.8"/>
    <n v="308514.6"/>
    <n v="0.30973980677969776"/>
    <n v="11211.75"/>
    <n v="4062.64"/>
    <n v="0"/>
    <n v="48533.53"/>
    <n v="30505.85"/>
    <n v="5392.08"/>
    <n v="11450.54"/>
    <n v="5156.93"/>
    <n v="4104.41"/>
    <n v="0"/>
    <n v="0"/>
    <n v="2473.26"/>
    <n v="385.09"/>
    <n v="46.7"/>
    <n v="1586.81"/>
    <n v="4557.9"/>
    <n v="9.41"/>
    <n v="580.68"/>
    <n v="244.32"/>
    <n v="3081.7"/>
    <n v="24033.64"/>
    <n v="9263.59"/>
    <n v="0"/>
    <n v="864.65"/>
    <n v="2435.03"/>
    <n v="439.92"/>
    <n v="2459.22"/>
    <n v="278.23"/>
    <n v="3000.82"/>
    <n v="3358.51"/>
    <n v="95.02"/>
    <n v="381.63"/>
    <n v="0"/>
    <n v="49.92"/>
    <n v="0"/>
    <n v="6731.99"/>
    <n v="0"/>
    <n v="1614.44"/>
    <n v="0"/>
    <n v="0"/>
    <n v="35632.38"/>
    <n v="13865"/>
    <n v="28"/>
    <n v="2793582.95"/>
    <n v="188"/>
    <n v="0"/>
    <n v="1583167.37"/>
    <n v="42288"/>
    <n v="343001.92"/>
    <n v="164671.99"/>
    <n v="65616.87"/>
    <n v="215079.6"/>
    <n v="147085.6"/>
    <x v="23"/>
    <n v="1026"/>
    <n v="5148"/>
    <n v="1855"/>
    <n v="360"/>
    <n v="164242.82"/>
    <n v="0.1648950789743911"/>
    <n v="43978.81"/>
    <n v="105143.34"/>
    <n v="0.10556089668291894"/>
    <n v="46133.61"/>
    <n v="0.04631682081642144"/>
    <n v="9059.17"/>
    <n v="0"/>
    <n v="3906.7"/>
    <n v="108557.71999999986"/>
    <n v="71.83875946628201"/>
    <n v="3.049981968986657"/>
    <n v="0.6902601932203023"/>
    <n v="0.1089888362406333"/>
    <n v="64578.90999999986"/>
    <n v="0.0648353728006501"/>
  </r>
  <r>
    <x v="0"/>
    <x v="4"/>
    <x v="4"/>
    <s v="ULTRA POPULAR"/>
    <s v="RJ"/>
    <s v="APROVADO"/>
    <n v="309620.41"/>
    <n v="177187.72"/>
    <n v="0.3639785555758898"/>
    <n v="8024.29"/>
    <n v="2277.24"/>
    <n v="214589.1"/>
    <n v="95031.30999999997"/>
    <n v="0.30692844182978757"/>
    <n v="2687.84"/>
    <n v="0"/>
    <n v="0"/>
    <n v="38427.7"/>
    <n v="8261.29"/>
    <n v="3405.86"/>
    <n v="3765.37"/>
    <n v="1360.43"/>
    <n v="2715.71"/>
    <n v="1412"/>
    <n v="0"/>
    <n v="1686"/>
    <n v="217"/>
    <n v="0"/>
    <n v="1586.81"/>
    <n v="1971.93"/>
    <n v="9.37"/>
    <n v="57.95"/>
    <n v="611.94"/>
    <n v="1395.33"/>
    <n v="12415.15"/>
    <n v="4681.55"/>
    <n v="0"/>
    <n v="345.98"/>
    <n v="211"/>
    <n v="203.1"/>
    <n v="2021.77"/>
    <n v="69.5"/>
    <n v="1909.5"/>
    <n v="620.21"/>
    <n v="0"/>
    <n v="155.83"/>
    <n v="0"/>
    <n v="90.71"/>
    <n v="2739.28"/>
    <n v="2295.85"/>
    <n v="4723.74"/>
    <n v="49.6"/>
    <n v="0"/>
    <n v="1935.99"/>
    <n v="5056.49"/>
    <n v="6692"/>
    <n v="16"/>
    <n v="1075357.92"/>
    <n v="138"/>
    <n v="24817.31"/>
    <n v="381746.1"/>
    <n v="16808"/>
    <n v="84694.67"/>
    <n v="64566.89"/>
    <n v="23685.5"/>
    <n v="61959.64"/>
    <n v="27769.92"/>
    <x v="24"/>
    <n v="764"/>
    <n v="3145"/>
    <n v="906"/>
    <n v="305"/>
    <n v="89362.45000000001"/>
    <n v="0.28861937751455086"/>
    <n v="14061.67"/>
    <n v="57936.36"/>
    <n v="0.18712061003988725"/>
    <n v="22477.76"/>
    <n v="0.07259779805859698"/>
    <n v="5471.11"/>
    <n v="1412"/>
    <n v="2065.2200000000003"/>
    <n v="-4646.349999999993"/>
    <n v="46.26724596533174"/>
    <n v="2.511655708308428"/>
    <n v="0.6930715581702125"/>
    <n v="-0.015006601147514769"/>
    <n v="-18708.019999999993"/>
    <n v="-0.06042243791357293"/>
  </r>
  <r>
    <x v="1"/>
    <x v="4"/>
    <x v="4"/>
    <s v="ULTRA POPULAR"/>
    <s v="RJ"/>
    <s v="APROVADO"/>
    <n v="319256.7"/>
    <n v="199335.8"/>
    <n v="0.38437848599815844"/>
    <n v="8463.39"/>
    <n v="2827.65"/>
    <n v="221254.86"/>
    <n v="98001.84000000003"/>
    <n v="0.30696878092143415"/>
    <n v="2639.06"/>
    <n v="860"/>
    <n v="0"/>
    <n v="34644.9"/>
    <n v="8210.81"/>
    <n v="2837.3"/>
    <n v="3033.04"/>
    <n v="1724.6"/>
    <n v="2891.36"/>
    <n v="0"/>
    <n v="0"/>
    <n v="1714.22"/>
    <n v="385.09"/>
    <n v="109.31"/>
    <n v="1586.81"/>
    <n v="1939.8"/>
    <n v="9.37"/>
    <n v="17.46"/>
    <n v="596.42"/>
    <n v="3536.72"/>
    <n v="12395.48"/>
    <n v="4834.51"/>
    <n v="0"/>
    <n v="383.89"/>
    <n v="293.73"/>
    <n v="524.77"/>
    <n v="1240.07"/>
    <n v="1228.32"/>
    <n v="2091.52"/>
    <n v="1709.38"/>
    <n v="175.04"/>
    <n v="178.28"/>
    <n v="0"/>
    <n v="84.5"/>
    <n v="2739.28"/>
    <n v="1409.55"/>
    <n v="267.22"/>
    <n v="6.48"/>
    <n v="0"/>
    <n v="240.05"/>
    <n v="5000"/>
    <n v="6766"/>
    <n v="13"/>
    <n v="1100445.45"/>
    <n v="131.12"/>
    <n v="31153.95"/>
    <n v="418783.32"/>
    <n v="17564"/>
    <n v="91013.6"/>
    <n v="67333.95"/>
    <n v="29076.17"/>
    <n v="58331.31"/>
    <n v="25610.78"/>
    <x v="25"/>
    <n v="801"/>
    <n v="3130"/>
    <n v="954"/>
    <n v="308"/>
    <n v="87938.88000000002"/>
    <n v="0.2754488159528054"/>
    <n v="6923.3"/>
    <n v="53342.01"/>
    <n v="0.16708188113201697"/>
    <n v="24701.67"/>
    <n v="0.07737244042176718"/>
    <n v="5744.599999999999"/>
    <n v="0"/>
    <n v="4150.599999999999"/>
    <n v="-2256.6800000000103"/>
    <n v="47.185441915459656"/>
    <n v="2.5959207803724507"/>
    <n v="0.6930312190785659"/>
    <n v="-0.0070685439021327045"/>
    <n v="-9179.98000000001"/>
    <n v="-0.028754228180645887"/>
  </r>
  <r>
    <x v="2"/>
    <x v="4"/>
    <x v="4"/>
    <s v="ULTRA POPULAR"/>
    <s v="RJ"/>
    <s v="APROVADO"/>
    <n v="335985.91"/>
    <n v="217133.35"/>
    <n v="0.3925615426951504"/>
    <n v="16521.85"/>
    <n v="2745.27"/>
    <n v="233946.62"/>
    <n v="102039.28999999998"/>
    <n v="0.30370109865619066"/>
    <n v="3022.13"/>
    <n v="499"/>
    <n v="0"/>
    <n v="25984.64"/>
    <n v="11063.24"/>
    <n v="1229.13"/>
    <n v="2978.94"/>
    <n v="1662.71"/>
    <n v="2586.61"/>
    <n v="0"/>
    <n v="0"/>
    <n v="1714.22"/>
    <n v="385.09"/>
    <n v="0"/>
    <n v="1729.99"/>
    <n v="2015.5"/>
    <n v="9.37"/>
    <n v="0"/>
    <n v="462.58"/>
    <n v="3575.64"/>
    <n v="12442.59"/>
    <n v="2685.97"/>
    <n v="0"/>
    <n v="378.5"/>
    <n v="3588.83"/>
    <n v="318.3"/>
    <n v="2577.63"/>
    <n v="61.65"/>
    <n v="3480.37"/>
    <n v="1725.16"/>
    <n v="0"/>
    <n v="264.05"/>
    <n v="0"/>
    <n v="74.54"/>
    <n v="2441.42"/>
    <n v="1323.72"/>
    <n v="0"/>
    <n v="501.48"/>
    <n v="0"/>
    <n v="5395.21"/>
    <n v="0"/>
    <n v="6823"/>
    <n v="13"/>
    <n v="1012159.91"/>
    <n v="131.12"/>
    <n v="45377.02"/>
    <n v="413239.56"/>
    <n v="17423"/>
    <n v="102708.86"/>
    <n v="77131.95"/>
    <n v="27433.35"/>
    <n v="58410.51"/>
    <n v="27249.6"/>
    <x v="26"/>
    <n v="812"/>
    <n v="2994"/>
    <n v="888"/>
    <n v="306"/>
    <n v="82656.66"/>
    <n v="0.2460122806935565"/>
    <n v="7220.41"/>
    <n v="45505.27"/>
    <n v="0.13543803071980012"/>
    <n v="27259"/>
    <n v="0.08113137839619525"/>
    <n v="5854.17"/>
    <n v="0"/>
    <n v="4038.22"/>
    <n v="-1153.710000000021"/>
    <n v="49.24313498461087"/>
    <n v="2.5535688113732964"/>
    <n v="0.6962989013438093"/>
    <n v="-0.0034338047092511144"/>
    <n v="-8374.12000000002"/>
    <n v="-0.024924021367443715"/>
  </r>
  <r>
    <x v="3"/>
    <x v="4"/>
    <x v="4"/>
    <s v="ULTRA POPULAR"/>
    <s v="RJ"/>
    <s v="APROVADO"/>
    <n v="329103.81"/>
    <n v="211332.42"/>
    <n v="0.39104043783297066"/>
    <n v="8896.39"/>
    <n v="2990.78"/>
    <n v="228418.4"/>
    <n v="100685.41"/>
    <n v="0.3059381476015121"/>
    <n v="3013.28"/>
    <n v="276.58"/>
    <n v="0"/>
    <n v="32177.35"/>
    <n v="11417.59"/>
    <n v="3574.9"/>
    <n v="4002.58"/>
    <n v="1681.07"/>
    <n v="2434.28"/>
    <n v="0"/>
    <n v="0"/>
    <n v="1714.22"/>
    <n v="385.09"/>
    <n v="35.31"/>
    <n v="1586.81"/>
    <n v="1983.54"/>
    <n v="9.37"/>
    <n v="0"/>
    <n v="435.66"/>
    <n v="1251.85"/>
    <n v="11665.8"/>
    <n v="2329.46"/>
    <n v="0"/>
    <n v="424.6"/>
    <n v="1454.42"/>
    <n v="266.9"/>
    <n v="1937.15"/>
    <n v="3015.12"/>
    <n v="2071.52"/>
    <n v="2805.67"/>
    <n v="182.11"/>
    <n v="288.12"/>
    <n v="0"/>
    <n v="55.97"/>
    <n v="4424.56"/>
    <n v="1935.57"/>
    <n v="0"/>
    <n v="0"/>
    <n v="0"/>
    <n v="0"/>
    <n v="0"/>
    <n v="6822"/>
    <n v="14"/>
    <n v="948510.01"/>
    <n v="138"/>
    <n v="34914.63"/>
    <n v="408944.28"/>
    <n v="16624"/>
    <n v="99138.22"/>
    <n v="75597.01"/>
    <n v="27536.69"/>
    <n v="55566.56"/>
    <n v="26145.55"/>
    <x v="27"/>
    <n v="787"/>
    <n v="2824"/>
    <n v="823"/>
    <n v="284"/>
    <n v="88660.26"/>
    <n v="0.2693990689442337"/>
    <n v="1935.57"/>
    <n v="55287.770000000004"/>
    <n v="0.16799492537020463"/>
    <n v="25970.64"/>
    <n v="0.07891321586340797"/>
    <n v="5714.339999999999"/>
    <n v="0"/>
    <n v="1687.51"/>
    <n v="858.4199999999569"/>
    <n v="48.24154353562005"/>
    <n v="2.436822046320727"/>
    <n v="0.6940618523984878"/>
    <n v="0.0026083563116451216"/>
    <n v="-1077.150000000043"/>
    <n v="-0.0032729794285883324"/>
  </r>
  <r>
    <x v="4"/>
    <x v="4"/>
    <x v="4"/>
    <s v="ULTRA POPULAR"/>
    <s v="RJ"/>
    <s v="APROVADO"/>
    <n v="314154.33"/>
    <n v="198938.86"/>
    <n v="0.38772461587338547"/>
    <n v="7487.76"/>
    <n v="4107.55"/>
    <n v="215411.03"/>
    <n v="98743.30000000002"/>
    <n v="0.3143146236437359"/>
    <n v="7320.37"/>
    <n v="990"/>
    <n v="0"/>
    <n v="28853.26"/>
    <n v="13041.6"/>
    <n v="3205.6"/>
    <n v="3099.21"/>
    <n v="3367.12"/>
    <n v="2719.11"/>
    <n v="0"/>
    <n v="0"/>
    <n v="1714.22"/>
    <n v="385.09"/>
    <n v="132"/>
    <n v="1586.81"/>
    <n v="2157.6"/>
    <n v="9.37"/>
    <n v="0"/>
    <n v="623.36"/>
    <n v="681.82"/>
    <n v="11423.02"/>
    <n v="2641.69"/>
    <n v="0"/>
    <n v="426.59"/>
    <n v="862.44"/>
    <n v="571.15"/>
    <n v="785.58"/>
    <n v="61.65"/>
    <n v="3014.15"/>
    <n v="1791.49"/>
    <n v="0"/>
    <n v="289.63"/>
    <n v="0"/>
    <n v="50.19"/>
    <n v="1817.37"/>
    <n v="1068.72"/>
    <n v="9783.45"/>
    <n v="0"/>
    <n v="0"/>
    <n v="0"/>
    <n v="0"/>
    <n v="6427"/>
    <n v="13"/>
    <n v="983052.39"/>
    <n v="131.12"/>
    <n v="44996.62"/>
    <n v="427967.18"/>
    <n v="15930"/>
    <n v="97375.91"/>
    <n v="73998.78"/>
    <n v="25811.75"/>
    <n v="52357.64"/>
    <n v="26250.54"/>
    <x v="28"/>
    <n v="772"/>
    <n v="2719"/>
    <n v="830"/>
    <n v="284"/>
    <n v="83153.93"/>
    <n v="0.26469133817127394"/>
    <n v="10852.17"/>
    <n v="54285.9"/>
    <n v="0.17280010114773844"/>
    <n v="21577.760000000006"/>
    <n v="0.06868522232369041"/>
    <n v="5985.089999999999"/>
    <n v="0"/>
    <n v="1305.18"/>
    <n v="-2738.37999999997"/>
    <n v="48.88039987552513"/>
    <n v="2.4786058814376846"/>
    <n v="0.6856853763562641"/>
    <n v="-0.008716671197878985"/>
    <n v="-13590.54999999997"/>
    <n v="-0.043260743851596666"/>
  </r>
  <r>
    <x v="5"/>
    <x v="4"/>
    <x v="4"/>
    <s v="ULTRA POPULAR"/>
    <s v="RJ"/>
    <s v="APROVADO"/>
    <n v="300605.83"/>
    <n v="181615.23"/>
    <n v="0.3766223524123977"/>
    <n v="12693.9"/>
    <n v="2906.6"/>
    <n v="210391.9"/>
    <n v="90213.93000000002"/>
    <n v="0.30010705381196373"/>
    <n v="2862.38"/>
    <n v="399"/>
    <n v="0"/>
    <n v="29580.6"/>
    <n v="12808.54"/>
    <n v="3286.4"/>
    <n v="3512.86"/>
    <n v="3411.41"/>
    <n v="2836.98"/>
    <n v="0"/>
    <n v="0"/>
    <n v="1714.22"/>
    <n v="385.09"/>
    <n v="46.69"/>
    <n v="1586.81"/>
    <n v="3010.06"/>
    <n v="9.37"/>
    <n v="278.35"/>
    <n v="327.02"/>
    <n v="613.82"/>
    <n v="11461.98"/>
    <n v="3723.1"/>
    <n v="0"/>
    <n v="431.61"/>
    <n v="1994.68"/>
    <n v="439.88"/>
    <n v="1084.93"/>
    <n v="262.48"/>
    <n v="2765.94"/>
    <n v="2396.21"/>
    <n v="38.36"/>
    <n v="236.8"/>
    <n v="0"/>
    <n v="65.11"/>
    <n v="0"/>
    <n v="1668.98"/>
    <n v="1257.6"/>
    <n v="1455.15"/>
    <n v="0"/>
    <n v="0"/>
    <n v="0"/>
    <n v="6073"/>
    <n v="12"/>
    <n v="952390.31"/>
    <n v="131.12"/>
    <n v="43327.31"/>
    <n v="385633.74"/>
    <n v="14546"/>
    <n v="99146.16"/>
    <n v="69950.35"/>
    <n v="21728.29"/>
    <n v="47342.09"/>
    <n v="22734.38"/>
    <x v="29"/>
    <n v="809"/>
    <n v="2779"/>
    <n v="900"/>
    <n v="282"/>
    <n v="87969.03"/>
    <n v="0.2926391347765943"/>
    <n v="4381.73"/>
    <n v="55436.79"/>
    <n v="0.18441688240045112"/>
    <n v="24560.809999999998"/>
    <n v="0.08170437013813071"/>
    <n v="6752.24"/>
    <n v="0"/>
    <n v="1219.19"/>
    <n v="-16827.02999999998"/>
    <n v="49.49873703276799"/>
    <n v="2.395191832702124"/>
    <n v="0.6998929461880363"/>
    <n v="-0.05597705806304548"/>
    <n v="-21208.75999999998"/>
    <n v="-0.07055338880154113"/>
  </r>
  <r>
    <x v="0"/>
    <x v="5"/>
    <x v="5"/>
    <s v="ULTRA POPULAR"/>
    <s v="RJ"/>
    <s v="APROVADO"/>
    <n v="459754.62"/>
    <n v="239291.83"/>
    <n v="0.34231177341648755"/>
    <n v="8024.29"/>
    <n v="4985.49"/>
    <n v="304737.88"/>
    <n v="155016.74"/>
    <n v="0.33717277272820007"/>
    <n v="3782.74"/>
    <n v="0"/>
    <n v="0"/>
    <n v="32698.72"/>
    <n v="9475.18"/>
    <n v="3383.55"/>
    <n v="2348.26"/>
    <n v="2877.55"/>
    <n v="2150.15"/>
    <n v="1412"/>
    <n v="0"/>
    <n v="1566.06"/>
    <n v="217"/>
    <n v="0"/>
    <n v="1586.81"/>
    <n v="1840.98"/>
    <n v="9.37"/>
    <n v="77.77"/>
    <n v="311.81"/>
    <n v="1320.32"/>
    <n v="8818.98"/>
    <n v="4822.39"/>
    <n v="120.02"/>
    <n v="268.87"/>
    <n v="260.06"/>
    <n v="203.1"/>
    <n v="757.86"/>
    <n v="54.08"/>
    <n v="815.59"/>
    <n v="907.37"/>
    <n v="0"/>
    <n v="231.39"/>
    <n v="0"/>
    <n v="77.81"/>
    <n v="3928.19"/>
    <n v="1340.03"/>
    <n v="754.04"/>
    <n v="357.4"/>
    <n v="0"/>
    <n v="1935.99"/>
    <n v="5083.89"/>
    <n v="11296"/>
    <n v="14"/>
    <n v="1151711.38"/>
    <n v="59"/>
    <n v="0"/>
    <n v="534145.12"/>
    <n v="27907"/>
    <n v="114155.85"/>
    <n v="89130.8"/>
    <n v="42451.22"/>
    <n v="109048.96"/>
    <n v="51597.23"/>
    <x v="30"/>
    <n v="807"/>
    <n v="3086"/>
    <n v="1126"/>
    <n v="308"/>
    <n v="78303.85"/>
    <n v="0.1703166136753558"/>
    <n v="9471.35"/>
    <n v="52933.41000000001"/>
    <n v="0.11513404694008297"/>
    <n v="17028.32"/>
    <n v="0.03703784423090735"/>
    <n v="5220.22"/>
    <n v="1412"/>
    <n v="1709.8999999999999"/>
    <n v="63694.980000000054"/>
    <n v="40.70065686968839"/>
    <n v="2.470520538243626"/>
    <n v="0.6628272272717999"/>
    <n v="0.13854125054795546"/>
    <n v="54223.630000000056"/>
    <n v="0.11794037001738027"/>
  </r>
  <r>
    <x v="1"/>
    <x v="5"/>
    <x v="5"/>
    <s v="ULTRA POPULAR"/>
    <s v="RJ"/>
    <s v="APROVADO"/>
    <n v="441360.96"/>
    <n v="239017.49"/>
    <n v="0.35130079443286305"/>
    <n v="8463.39"/>
    <n v="5781.54"/>
    <n v="294108"/>
    <n v="147252.96000000002"/>
    <n v="0.33363385832766"/>
    <n v="3582.71"/>
    <n v="0"/>
    <n v="0"/>
    <n v="25710.56"/>
    <n v="11820.09"/>
    <n v="2794.11"/>
    <n v="2908.36"/>
    <n v="3824.98"/>
    <n v="2562.51"/>
    <n v="0"/>
    <n v="0"/>
    <n v="1564.22"/>
    <n v="385.09"/>
    <n v="59.31"/>
    <n v="1640.14"/>
    <n v="1808.85"/>
    <n v="9.37"/>
    <n v="17.47"/>
    <n v="596.42"/>
    <n v="156.72"/>
    <n v="8818.98"/>
    <n v="5128.03"/>
    <n v="120.02"/>
    <n v="277.21"/>
    <n v="324.71"/>
    <n v="524.77"/>
    <n v="664.16"/>
    <n v="1858.59"/>
    <n v="1621.52"/>
    <n v="609.49"/>
    <n v="175.04"/>
    <n v="247.5"/>
    <n v="0"/>
    <n v="82.41"/>
    <n v="3928.19"/>
    <n v="606.61"/>
    <n v="7202"/>
    <n v="6.48"/>
    <n v="0"/>
    <n v="240.05"/>
    <n v="5000"/>
    <n v="10921"/>
    <n v="13"/>
    <n v="1173862.65"/>
    <n v="59"/>
    <n v="0"/>
    <n v="579017.19"/>
    <n v="26966"/>
    <n v="118285.92"/>
    <n v="85480.94"/>
    <n v="45034.75"/>
    <n v="101716.07"/>
    <n v="46105.74"/>
    <x v="31"/>
    <n v="830"/>
    <n v="3097"/>
    <n v="1090"/>
    <n v="315"/>
    <n v="75805.68000000004"/>
    <n v="0.1717543844385331"/>
    <n v="13055.14"/>
    <n v="49620.61000000001"/>
    <n v="0.11242636865752695"/>
    <n v="19947.48"/>
    <n v="0.04519538837327162"/>
    <n v="5466.9800000000005"/>
    <n v="0"/>
    <n v="770.61"/>
    <n v="57207.700000000055"/>
    <n v="40.413969416720086"/>
    <n v="2.469187803314715"/>
    <n v="0.66636614167234"/>
    <n v="0.12961658412198498"/>
    <n v="44152.560000000056"/>
    <n v="0.10003730280086406"/>
  </r>
  <r>
    <x v="2"/>
    <x v="5"/>
    <x v="5"/>
    <s v="ULTRA POPULAR"/>
    <s v="RJ"/>
    <s v="APROVADO"/>
    <n v="440017.82"/>
    <n v="259389.55"/>
    <n v="0.37087048425011593"/>
    <n v="16521.85"/>
    <n v="4622.35"/>
    <n v="288150.23"/>
    <n v="151867.59000000003"/>
    <n v="0.3451396354811267"/>
    <n v="4016.85"/>
    <n v="299"/>
    <n v="0"/>
    <n v="48908.51"/>
    <n v="11531.63"/>
    <n v="5433.74"/>
    <n v="2732.6"/>
    <n v="3570.37"/>
    <n v="2191.63"/>
    <n v="0"/>
    <n v="0"/>
    <n v="1564.22"/>
    <n v="385.09"/>
    <n v="0"/>
    <n v="1729.99"/>
    <n v="1884.55"/>
    <n v="9.37"/>
    <n v="0"/>
    <n v="506.04"/>
    <n v="463.64"/>
    <n v="8818.98"/>
    <n v="3195.56"/>
    <n v="120.02"/>
    <n v="271.65"/>
    <n v="3465.02"/>
    <n v="318.3"/>
    <n v="684.36"/>
    <n v="46.23"/>
    <n v="2520.37"/>
    <n v="958.22"/>
    <n v="0"/>
    <n v="257.45"/>
    <n v="0"/>
    <n v="67.84"/>
    <n v="2748.56"/>
    <n v="950.73"/>
    <n v="629.52"/>
    <n v="6.48"/>
    <n v="0"/>
    <n v="5395.21"/>
    <n v="0"/>
    <n v="10916"/>
    <n v="14"/>
    <n v="1221632.97"/>
    <n v="59"/>
    <n v="0"/>
    <n v="500429.68"/>
    <n v="26795"/>
    <n v="110711.61"/>
    <n v="87315.7"/>
    <n v="49101.09"/>
    <n v="96236.68"/>
    <n v="51062.63"/>
    <x v="32"/>
    <n v="852"/>
    <n v="3103"/>
    <n v="1066"/>
    <n v="324"/>
    <n v="101310.09"/>
    <n v="0.23024087978982305"/>
    <n v="6981.9400000000005"/>
    <n v="74368.48000000001"/>
    <n v="0.16901242772394992"/>
    <n v="20398.71"/>
    <n v="0.04635882701296052"/>
    <n v="5573.22"/>
    <n v="0"/>
    <n v="969.6800000000001"/>
    <n v="27656.40000000006"/>
    <n v="40.309437522902165"/>
    <n v="2.454653719311103"/>
    <n v="0.6548603645188733"/>
    <n v="0.06285290900264007"/>
    <n v="20674.460000000057"/>
    <n v="0.04698550617790902"/>
  </r>
  <r>
    <x v="3"/>
    <x v="5"/>
    <x v="5"/>
    <s v="ULTRA POPULAR"/>
    <s v="RJ"/>
    <s v="APROVADO"/>
    <n v="445171.88"/>
    <n v="247268.13"/>
    <n v="0.3570968263373458"/>
    <n v="10021.39"/>
    <n v="5961.07"/>
    <n v="294378.66"/>
    <n v="150793.22000000003"/>
    <n v="0.33873033489896087"/>
    <n v="3938.65"/>
    <n v="152.93"/>
    <n v="0"/>
    <n v="27449.53"/>
    <n v="14168.37"/>
    <n v="3049.64"/>
    <n v="3593.18"/>
    <n v="3304.19"/>
    <n v="2200.39"/>
    <n v="0"/>
    <n v="0"/>
    <n v="1564.22"/>
    <n v="385.09"/>
    <n v="35.31"/>
    <n v="1586.81"/>
    <n v="1852.59"/>
    <n v="9.37"/>
    <n v="0"/>
    <n v="300.72"/>
    <n v="1798.47"/>
    <n v="8803.38"/>
    <n v="2582.98"/>
    <n v="120.02"/>
    <n v="298.47"/>
    <n v="1379.8"/>
    <n v="266.9"/>
    <n v="834.84"/>
    <n v="296.23"/>
    <n v="2274.86"/>
    <n v="411.73"/>
    <n v="182.11"/>
    <n v="288.12"/>
    <n v="0"/>
    <n v="61.97"/>
    <n v="5806.78"/>
    <n v="372.47"/>
    <n v="0"/>
    <n v="0"/>
    <n v="0"/>
    <n v="0"/>
    <n v="0"/>
    <n v="10776"/>
    <n v="14"/>
    <n v="1128276.21"/>
    <n v="59"/>
    <n v="0"/>
    <n v="538480.3"/>
    <n v="25483"/>
    <n v="121378.26"/>
    <n v="86449.15"/>
    <n v="49768.52"/>
    <n v="94614.55"/>
    <n v="50388.08"/>
    <x v="33"/>
    <n v="835"/>
    <n v="3041"/>
    <n v="1016"/>
    <n v="310"/>
    <n v="78567.08999999998"/>
    <n v="0.17648709078390123"/>
    <n v="372.47"/>
    <n v="53765.3"/>
    <n v="0.12077425016153312"/>
    <n v="17269.209999999995"/>
    <n v="0.03879223009323948"/>
    <n v="5433.389999999999"/>
    <n v="0"/>
    <n v="2099.19"/>
    <n v="57550.61000000004"/>
    <n v="41.31142167780253"/>
    <n v="2.3647921306607276"/>
    <n v="0.6612696651010391"/>
    <n v="0.12927728049669274"/>
    <n v="57178.140000000036"/>
    <n v="0.1284405924291535"/>
  </r>
  <r>
    <x v="4"/>
    <x v="5"/>
    <x v="5"/>
    <s v="ULTRA POPULAR"/>
    <s v="RJ"/>
    <s v="APROVADO"/>
    <n v="439375.58"/>
    <n v="250122.21"/>
    <n v="0.36275998796167275"/>
    <n v="7487.76"/>
    <n v="5827.13"/>
    <n v="290607.37"/>
    <n v="148768.21000000002"/>
    <n v="0.3385900736677264"/>
    <n v="7697.49"/>
    <n v="0"/>
    <n v="0"/>
    <n v="47950.83"/>
    <n v="12855.54"/>
    <n v="5327.34"/>
    <n v="2817.69"/>
    <n v="3157.49"/>
    <n v="2004.19"/>
    <n v="0"/>
    <n v="0"/>
    <n v="1564.22"/>
    <n v="385.09"/>
    <n v="396"/>
    <n v="1586.81"/>
    <n v="2026.65"/>
    <n v="9.37"/>
    <n v="0"/>
    <n v="683.42"/>
    <n v="1921.73"/>
    <n v="8818.98"/>
    <n v="2053.27"/>
    <n v="120.02"/>
    <n v="298.47"/>
    <n v="643.91"/>
    <n v="571.15"/>
    <n v="1013.27"/>
    <n v="46.23"/>
    <n v="2104.99"/>
    <n v="925.35"/>
    <n v="0"/>
    <n v="289.62"/>
    <n v="0"/>
    <n v="65.82"/>
    <n v="2309.2"/>
    <n v="570.33"/>
    <n v="0"/>
    <n v="0"/>
    <n v="787.12"/>
    <n v="0"/>
    <n v="0"/>
    <n v="10171"/>
    <n v="12"/>
    <n v="1224850.13"/>
    <n v="59"/>
    <n v="0"/>
    <n v="561770.37"/>
    <n v="24600"/>
    <n v="127244.56"/>
    <n v="87308.45"/>
    <n v="40710.49"/>
    <n v="91652.98"/>
    <n v="49741.53"/>
    <x v="34"/>
    <n v="824"/>
    <n v="2936"/>
    <n v="1086"/>
    <n v="319"/>
    <n v="99282.01000000001"/>
    <n v="0.22596160214457073"/>
    <n v="1357.45"/>
    <n v="74113.08000000002"/>
    <n v="0.16867819554286567"/>
    <n v="16595.64"/>
    <n v="0.0377709657874022"/>
    <n v="5968.14"/>
    <n v="0"/>
    <n v="2605.15"/>
    <n v="30559.22"/>
    <n v="43.198857536132145"/>
    <n v="2.4186412348834923"/>
    <n v="0.6614099263322736"/>
    <n v="0.06955147575566216"/>
    <n v="29201.77"/>
    <n v="0.06646197770026273"/>
  </r>
  <r>
    <x v="5"/>
    <x v="5"/>
    <x v="5"/>
    <s v="ULTRA POPULAR"/>
    <s v="RJ"/>
    <s v="APROVADO"/>
    <n v="445477.17"/>
    <n v="237400.59"/>
    <n v="0.3476472714530929"/>
    <n v="12693.9"/>
    <n v="4615.59"/>
    <n v="293722.12"/>
    <n v="151755.05"/>
    <n v="0.3406573001260648"/>
    <n v="3569.02"/>
    <n v="0"/>
    <n v="0"/>
    <n v="22019.01"/>
    <n v="15025.5"/>
    <n v="2446.31"/>
    <n v="2516.69"/>
    <n v="3121.44"/>
    <n v="2104.37"/>
    <n v="0"/>
    <n v="0"/>
    <n v="1564.22"/>
    <n v="385.09"/>
    <n v="46.69"/>
    <n v="1586.81"/>
    <n v="2108.08"/>
    <n v="9.37"/>
    <n v="391.9"/>
    <n v="515.9"/>
    <n v="1433.82"/>
    <n v="8818.98"/>
    <n v="3748.37"/>
    <n v="120.02"/>
    <n v="303.49"/>
    <n v="2236.01"/>
    <n v="439.89"/>
    <n v="1412.61"/>
    <n v="46.23"/>
    <n v="2153.03"/>
    <n v="1167.76"/>
    <n v="60.93"/>
    <n v="236.8"/>
    <n v="0"/>
    <n v="71.26"/>
    <n v="0"/>
    <n v="1121.5"/>
    <n v="1357.12"/>
    <n v="0"/>
    <n v="0"/>
    <n v="0"/>
    <n v="0"/>
    <n v="10114"/>
    <n v="13"/>
    <n v="1124190.79"/>
    <n v="59"/>
    <n v="0"/>
    <n v="521938.6"/>
    <n v="24521"/>
    <n v="126155.21"/>
    <n v="88545.22"/>
    <n v="40246.33"/>
    <n v="93454.42"/>
    <n v="49495.75"/>
    <x v="35"/>
    <n v="846"/>
    <n v="2922"/>
    <n v="1093"/>
    <n v="300"/>
    <n v="75721.59"/>
    <n v="0.16997860967824682"/>
    <n v="2478.62"/>
    <n v="47233.32"/>
    <n v="0.10602859850258993"/>
    <n v="20446.389999999996"/>
    <n v="0.04589772804743281"/>
    <n v="5700.259999999999"/>
    <n v="0"/>
    <n v="2341.62"/>
    <n v="54928.47999999995"/>
    <n v="44.04559719201107"/>
    <n v="2.4244611429701406"/>
    <n v="0.6593426998739352"/>
    <n v="0.12330257014068746"/>
    <n v="52449.85999999995"/>
    <n v="0.11773860375381291"/>
  </r>
  <r>
    <x v="0"/>
    <x v="6"/>
    <x v="6"/>
    <s v="ULTRA POPULAR"/>
    <s v="RJ"/>
    <s v="APROVADO"/>
    <n v="337795.24"/>
    <n v="165985.65"/>
    <n v="0.3294798458909388"/>
    <n v="8017.15"/>
    <n v="4007.05"/>
    <n v="234055.05"/>
    <n v="103740.19"/>
    <n v="0.30710968573743075"/>
    <n v="2776.47"/>
    <n v="0"/>
    <n v="0"/>
    <n v="26563.74"/>
    <n v="5579.03"/>
    <n v="2951.23"/>
    <n v="1878.77"/>
    <n v="3171.13"/>
    <n v="2420.26"/>
    <n v="1412"/>
    <n v="0"/>
    <n v="1691.71"/>
    <n v="217"/>
    <n v="0"/>
    <n v="1586.81"/>
    <n v="1742.11"/>
    <n v="9.37"/>
    <n v="61.71"/>
    <n v="311.81"/>
    <n v="1320.32"/>
    <n v="7800"/>
    <n v="2826.39"/>
    <n v="122.59"/>
    <n v="312.21"/>
    <n v="225.75"/>
    <n v="203.1"/>
    <n v="792.52"/>
    <n v="54.09"/>
    <n v="813.34"/>
    <n v="755.47"/>
    <n v="0"/>
    <n v="170.18"/>
    <n v="0"/>
    <n v="94.7"/>
    <n v="2914.8"/>
    <n v="504.14"/>
    <n v="7076.19"/>
    <n v="51.27"/>
    <n v="0"/>
    <n v="1935.98"/>
    <n v="5061.69"/>
    <n v="7364"/>
    <n v="12"/>
    <n v="1104091.59"/>
    <n v="94"/>
    <n v="0"/>
    <n v="403264.7"/>
    <n v="18677"/>
    <n v="101229.58"/>
    <n v="54805.66"/>
    <n v="27445.15"/>
    <n v="81804.54"/>
    <n v="34804.39"/>
    <x v="36"/>
    <n v="778"/>
    <n v="2939"/>
    <n v="1024"/>
    <n v="312"/>
    <n v="64822.45999999998"/>
    <n v="0.19189867802755295"/>
    <n v="14629.27"/>
    <n v="42564.159999999996"/>
    <n v="0.12600580162112407"/>
    <n v="13905.46"/>
    <n v="0.04116535212278302"/>
    <n v="5247"/>
    <n v="1412"/>
    <n v="1693.84"/>
    <n v="26956.379999999994"/>
    <n v="45.871162411732755"/>
    <n v="2.5362574687669746"/>
    <n v="0.6928903142625692"/>
    <n v="0.07980094686947038"/>
    <n v="12327.109999999993"/>
    <n v="0.0364928469684771"/>
  </r>
  <r>
    <x v="1"/>
    <x v="6"/>
    <x v="6"/>
    <s v="ULTRA POPULAR"/>
    <s v="RJ"/>
    <s v="APROVADO"/>
    <n v="333766.4"/>
    <n v="160955.88"/>
    <n v="0.3253459294374209"/>
    <n v="8466.31"/>
    <n v="4309.42"/>
    <n v="230983.92"/>
    <n v="102782.48000000001"/>
    <n v="0.3079473547966482"/>
    <n v="2685.41"/>
    <n v="0"/>
    <n v="0"/>
    <n v="22493.07"/>
    <n v="7799.79"/>
    <n v="2436.64"/>
    <n v="3041.38"/>
    <n v="3769.81"/>
    <n v="2415.61"/>
    <n v="0"/>
    <n v="0"/>
    <n v="1714.22"/>
    <n v="385.09"/>
    <n v="59.31"/>
    <n v="1640.14"/>
    <n v="1888.99"/>
    <n v="9.37"/>
    <n v="17.47"/>
    <n v="596.42"/>
    <n v="156.72"/>
    <n v="7800"/>
    <n v="2547.72"/>
    <n v="122.52"/>
    <n v="345.65"/>
    <n v="509.12"/>
    <n v="524.77"/>
    <n v="775.11"/>
    <n v="1858.59"/>
    <n v="1621.49"/>
    <n v="874.94"/>
    <n v="175.04"/>
    <n v="187"/>
    <n v="0"/>
    <n v="111.07"/>
    <n v="2914.8"/>
    <n v="306.56"/>
    <n v="5105.92"/>
    <n v="6.48"/>
    <n v="0"/>
    <n v="240.05"/>
    <n v="5000"/>
    <n v="7227"/>
    <n v="11"/>
    <n v="1125748.95"/>
    <n v="94"/>
    <n v="0"/>
    <n v="433262.04"/>
    <n v="18806"/>
    <n v="99367.11"/>
    <n v="51173.41"/>
    <n v="32295.25"/>
    <n v="79353.33"/>
    <n v="36846.39"/>
    <x v="37"/>
    <n v="812"/>
    <n v="2773"/>
    <n v="1015"/>
    <n v="321"/>
    <n v="65403.93999999999"/>
    <n v="0.195957232363713"/>
    <n v="10659.01"/>
    <n v="41956.299999999996"/>
    <n v="0.1257055833061686"/>
    <n v="16979.91"/>
    <n v="0.0508736349734425"/>
    <n v="5697.12"/>
    <n v="0"/>
    <n v="770.61"/>
    <n v="24581.230000000032"/>
    <n v="46.18325722983258"/>
    <n v="2.6021862460218625"/>
    <n v="0.6920526452033517"/>
    <n v="0.07364800650994237"/>
    <n v="13922.220000000032"/>
    <n v="0.041712467162662366"/>
  </r>
  <r>
    <x v="2"/>
    <x v="6"/>
    <x v="6"/>
    <s v="ULTRA POPULAR"/>
    <s v="RJ"/>
    <s v="APROVADO"/>
    <n v="352978.57"/>
    <n v="179380.5"/>
    <n v="0.3369539660515223"/>
    <n v="16514.7"/>
    <n v="4752.16"/>
    <n v="245245.66"/>
    <n v="107732.91"/>
    <n v="0.3052109084129385"/>
    <n v="3036.06"/>
    <n v="310.33"/>
    <n v="0"/>
    <n v="36713.67"/>
    <n v="9200.58"/>
    <n v="4078.89"/>
    <n v="2345.4"/>
    <n v="3535.96"/>
    <n v="2085.33"/>
    <n v="0"/>
    <n v="0"/>
    <n v="1714.22"/>
    <n v="385.09"/>
    <n v="0"/>
    <n v="1729.99"/>
    <n v="1785.69"/>
    <n v="9.37"/>
    <n v="0"/>
    <n v="462.58"/>
    <n v="463.64"/>
    <n v="7800"/>
    <n v="0"/>
    <n v="120.03"/>
    <n v="340.09"/>
    <n v="3585.2"/>
    <n v="318.3"/>
    <n v="714.36"/>
    <n v="46.23"/>
    <n v="2520.37"/>
    <n v="688.22"/>
    <n v="0"/>
    <n v="257.46"/>
    <n v="0"/>
    <n v="88.98"/>
    <n v="2240.22"/>
    <n v="549.89"/>
    <n v="169"/>
    <n v="6.48"/>
    <n v="0"/>
    <n v="5395.21"/>
    <n v="0"/>
    <n v="7302"/>
    <n v="12"/>
    <n v="1098751.83"/>
    <n v="94"/>
    <n v="0"/>
    <n v="402916.69"/>
    <n v="18693"/>
    <n v="113546.07"/>
    <n v="60081.97"/>
    <n v="30655.54"/>
    <n v="76188.17"/>
    <n v="36860.33"/>
    <x v="38"/>
    <n v="820"/>
    <n v="2834"/>
    <n v="1005"/>
    <n v="324"/>
    <n v="80643.20999999999"/>
    <n v="0.22846488952572955"/>
    <n v="6120.58"/>
    <n v="57959.83"/>
    <n v="0.16420212139224202"/>
    <n v="16132.799999999997"/>
    <n v="0.04570475765710082"/>
    <n v="5624.36"/>
    <n v="0"/>
    <n v="926.22"/>
    <n v="4548.190000000014"/>
    <n v="48.33998493563407"/>
    <n v="2.5599835661462613"/>
    <n v="0.6947890915870615"/>
    <n v="0.012885173170711224"/>
    <n v="-1572.3899999999858"/>
    <n v="-0.00445463303905386"/>
  </r>
  <r>
    <x v="3"/>
    <x v="6"/>
    <x v="6"/>
    <s v="ULTRA POPULAR"/>
    <s v="RJ"/>
    <s v="APROVADO"/>
    <n v="345727.2"/>
    <n v="182643.06"/>
    <n v="0.34567248353455776"/>
    <n v="9014.25"/>
    <n v="3484.7"/>
    <n v="234817.63"/>
    <n v="110909.57"/>
    <n v="0.32080082215110645"/>
    <n v="2912.73"/>
    <n v="245.06"/>
    <n v="0"/>
    <n v="27299.38"/>
    <n v="9463.58"/>
    <n v="3032.96"/>
    <n v="3156.55"/>
    <n v="2347.17"/>
    <n v="2037.19"/>
    <n v="0"/>
    <n v="0"/>
    <n v="1714.22"/>
    <n v="385.1"/>
    <n v="35.31"/>
    <n v="1586.81"/>
    <n v="2633.73"/>
    <n v="9.37"/>
    <n v="0"/>
    <n v="291.16"/>
    <n v="1251.85"/>
    <n v="7800"/>
    <n v="1745"/>
    <n v="122.51"/>
    <n v="366.91"/>
    <n v="1705.24"/>
    <n v="266.9"/>
    <n v="941.96"/>
    <n v="1280.56"/>
    <n v="2274.86"/>
    <n v="861.73"/>
    <n v="182.11"/>
    <n v="288.12"/>
    <n v="0"/>
    <n v="87.37"/>
    <n v="4019.49"/>
    <n v="281.12"/>
    <n v="0"/>
    <n v="0"/>
    <n v="0"/>
    <n v="0"/>
    <n v="0"/>
    <n v="7315"/>
    <n v="11"/>
    <n v="1021333.79"/>
    <n v="94"/>
    <n v="0"/>
    <n v="417352.61"/>
    <n v="18607"/>
    <n v="99292.12"/>
    <n v="58818.78"/>
    <n v="34137.01"/>
    <n v="78103.38"/>
    <n v="41267.74"/>
    <x v="28"/>
    <n v="784"/>
    <n v="2836"/>
    <n v="933"/>
    <n v="301"/>
    <n v="72610.05"/>
    <n v="0.2100212248269734"/>
    <n v="281.12"/>
    <n v="47336.83"/>
    <n v="0.13691960019344732"/>
    <n v="17365.67"/>
    <n v="0.05022940052156729"/>
    <n v="6364.54"/>
    <n v="0"/>
    <n v="1543.01"/>
    <n v="26279.40999999999"/>
    <n v="47.262775119617224"/>
    <n v="2.5436773752563226"/>
    <n v="0.6791991778488936"/>
    <n v="0.07601198285816096"/>
    <n v="25998.28999999999"/>
    <n v="0.075198856208016"/>
  </r>
  <r>
    <x v="4"/>
    <x v="6"/>
    <x v="6"/>
    <s v="ULTRA POPULAR"/>
    <s v="RJ"/>
    <s v="APROVADO"/>
    <n v="315558.85"/>
    <n v="166878.8"/>
    <n v="0.3459074970620556"/>
    <n v="7480.63"/>
    <n v="5955.9"/>
    <n v="211506.38"/>
    <n v="104052.46999999997"/>
    <n v="0.3297403004225677"/>
    <n v="5957.8"/>
    <n v="990"/>
    <n v="0"/>
    <n v="30025.69"/>
    <n v="10417.95"/>
    <n v="3335.85"/>
    <n v="3013.45"/>
    <n v="1774.01"/>
    <n v="2015.5"/>
    <n v="0"/>
    <n v="0"/>
    <n v="1714.22"/>
    <n v="385.09"/>
    <n v="132"/>
    <n v="1586.81"/>
    <n v="2132.89"/>
    <n v="9.37"/>
    <n v="0"/>
    <n v="390.68"/>
    <n v="681.82"/>
    <n v="7800"/>
    <n v="4268.77"/>
    <n v="120.03"/>
    <n v="366.91"/>
    <n v="724.72"/>
    <n v="571.15"/>
    <n v="1450.39"/>
    <n v="46.23"/>
    <n v="1994.99"/>
    <n v="854.55"/>
    <n v="0"/>
    <n v="289.61"/>
    <n v="0"/>
    <n v="88.29"/>
    <n v="1742.44"/>
    <n v="905.11"/>
    <n v="0"/>
    <n v="0"/>
    <n v="0"/>
    <n v="0"/>
    <n v="0"/>
    <n v="6891"/>
    <n v="14"/>
    <n v="1067204.38"/>
    <n v="94"/>
    <n v="0"/>
    <n v="392018.04"/>
    <n v="16877"/>
    <n v="87772.96"/>
    <n v="56151.52"/>
    <n v="29129.25"/>
    <n v="74824.12"/>
    <n v="37302.19"/>
    <x v="39"/>
    <n v="777"/>
    <n v="2649"/>
    <n v="1002"/>
    <n v="311"/>
    <n v="75813.06999999999"/>
    <n v="0.24025017837401802"/>
    <n v="905.11"/>
    <n v="50582.45"/>
    <n v="0.1602948229783446"/>
    <n v="18197.739999999998"/>
    <n v="0.05766829230110326"/>
    <n v="5960.38"/>
    <n v="0"/>
    <n v="1072.5"/>
    <n v="9396.189999999944"/>
    <n v="45.792896531708024"/>
    <n v="2.449136554926716"/>
    <n v="0.6702596995774323"/>
    <n v="0.02977634758144145"/>
    <n v="8491.079999999944"/>
    <n v="0.0269080711886228"/>
  </r>
  <r>
    <x v="5"/>
    <x v="6"/>
    <x v="6"/>
    <s v="ULTRA POPULAR"/>
    <s v="RJ"/>
    <s v="APROVADO"/>
    <n v="320019.36"/>
    <n v="175461.74"/>
    <n v="0.35412398172200715"/>
    <n v="12686.76"/>
    <n v="4041.42"/>
    <n v="216424.19"/>
    <n v="103595.16999999998"/>
    <n v="0.3237153214730508"/>
    <n v="2805"/>
    <n v="399"/>
    <n v="0"/>
    <n v="24414.75"/>
    <n v="11177.57"/>
    <n v="2712.48"/>
    <n v="2650.58"/>
    <n v="1806.43"/>
    <n v="2213.26"/>
    <n v="0"/>
    <n v="0"/>
    <n v="1714.22"/>
    <n v="385.09"/>
    <n v="46.69"/>
    <n v="1586.81"/>
    <n v="2693.91"/>
    <n v="9.37"/>
    <n v="308.44"/>
    <n v="210.14"/>
    <n v="613.82"/>
    <n v="7800"/>
    <n v="3680.68"/>
    <n v="120.03"/>
    <n v="371.93"/>
    <n v="2000.94"/>
    <n v="439.88"/>
    <n v="769.74"/>
    <n v="46.23"/>
    <n v="2133.04"/>
    <n v="1047.75"/>
    <n v="53.35"/>
    <n v="236.8"/>
    <n v="0"/>
    <n v="90.13"/>
    <n v="0"/>
    <n v="1001.86"/>
    <n v="0"/>
    <n v="0"/>
    <n v="0"/>
    <n v="0"/>
    <n v="0"/>
    <n v="6794"/>
    <n v="14"/>
    <n v="943433.11"/>
    <n v="94"/>
    <n v="0"/>
    <n v="366988.02"/>
    <n v="16868"/>
    <n v="86281.4"/>
    <n v="59833.94"/>
    <n v="26624.08"/>
    <n v="73676.99"/>
    <n v="37807.87"/>
    <x v="40"/>
    <n v="816"/>
    <n v="2772"/>
    <n v="1003"/>
    <n v="297"/>
    <n v="70953.78000000001"/>
    <n v="0.221717148612509"/>
    <n v="1001.86"/>
    <n v="44975.07000000001"/>
    <n v="0.14053859116523454"/>
    <n v="18410.22"/>
    <n v="0.05752845702834979"/>
    <n v="6436.089999999999"/>
    <n v="0"/>
    <n v="1132.4"/>
    <n v="12509.189999999991"/>
    <n v="47.10323226376214"/>
    <n v="2.482778922578746"/>
    <n v="0.6762846785269492"/>
    <n v="0.03908885387434058"/>
    <n v="11507.32999999999"/>
    <n v="0.03595823077703796"/>
  </r>
  <r>
    <x v="0"/>
    <x v="7"/>
    <x v="7"/>
    <s v="ULTRA POPULAR"/>
    <s v="RJ"/>
    <s v="APROVADO"/>
    <n v="607230.24"/>
    <n v="383410.85"/>
    <n v="0.38703305755266015"/>
    <n v="8044.26"/>
    <n v="5381.69"/>
    <n v="448917.04"/>
    <n v="158313.2"/>
    <n v="0.26071362980868673"/>
    <n v="4738.58"/>
    <n v="0"/>
    <n v="0"/>
    <n v="52810.37"/>
    <n v="9849.29"/>
    <n v="4924.52"/>
    <n v="5781.76"/>
    <n v="1359.38"/>
    <n v="3149.22"/>
    <n v="1412"/>
    <n v="0"/>
    <n v="1745.77"/>
    <n v="217"/>
    <n v="0"/>
    <n v="1586.81"/>
    <n v="2331.42"/>
    <n v="9.37"/>
    <n v="97.35"/>
    <n v="847.77"/>
    <n v="1320.32"/>
    <n v="21202.77"/>
    <n v="5700.57"/>
    <n v="227.47"/>
    <n v="264.15"/>
    <n v="509.26"/>
    <n v="203.1"/>
    <n v="1990"/>
    <n v="64"/>
    <n v="1745.01"/>
    <n v="1409.51"/>
    <n v="0"/>
    <n v="306.06"/>
    <n v="0"/>
    <n v="60.5"/>
    <n v="4686.79"/>
    <n v="4442.37"/>
    <n v="0"/>
    <n v="80.24"/>
    <n v="0"/>
    <n v="1935.98"/>
    <n v="5110.96"/>
    <n v="8649"/>
    <n v="20"/>
    <n v="1728876.79"/>
    <n v="188"/>
    <n v="120099.22"/>
    <n v="667635.66"/>
    <n v="26456"/>
    <n v="272667.84"/>
    <n v="96339.11"/>
    <n v="33097.06"/>
    <n v="89849.16"/>
    <n v="55266.92"/>
    <x v="41"/>
    <n v="878"/>
    <n v="4245"/>
    <n v="1542"/>
    <n v="308"/>
    <n v="120758.19000000002"/>
    <n v="0.19886722044672878"/>
    <n v="11569.55"/>
    <n v="77874.54000000001"/>
    <n v="0.12824549054078732"/>
    <n v="33315.84"/>
    <n v="0.05486525177006994"/>
    <n v="5890.37"/>
    <n v="1412"/>
    <n v="2265.44"/>
    <n v="23831.710000000083"/>
    <n v="70.20814429413805"/>
    <n v="3.0588507341889235"/>
    <n v="0.7392863701913133"/>
    <n v="0.03924657968285651"/>
    <n v="12262.160000000084"/>
    <n v="0.020193592466673075"/>
  </r>
  <r>
    <x v="1"/>
    <x v="7"/>
    <x v="7"/>
    <s v="ULTRA POPULAR"/>
    <s v="RJ"/>
    <s v="APROVADO"/>
    <n v="528911.76"/>
    <n v="350447.85"/>
    <n v="0.3985262070428729"/>
    <n v="8483.36"/>
    <n v="5660.9"/>
    <n v="388908.57"/>
    <n v="140003.19"/>
    <n v="0.2647004672386184"/>
    <n v="4651.48"/>
    <n v="0"/>
    <n v="0"/>
    <n v="58272.49"/>
    <n v="12976.06"/>
    <n v="4216.53"/>
    <n v="8053.07"/>
    <n v="1724.55"/>
    <n v="3197.83"/>
    <n v="0"/>
    <n v="0"/>
    <n v="1714.22"/>
    <n v="385.09"/>
    <n v="109.31"/>
    <n v="1586.81"/>
    <n v="2294.8"/>
    <n v="9.37"/>
    <n v="17.47"/>
    <n v="596.42"/>
    <n v="156.72"/>
    <n v="21202.77"/>
    <n v="6235.28"/>
    <n v="76.01"/>
    <n v="222.27"/>
    <n v="471.24"/>
    <n v="524.77"/>
    <n v="1686.9"/>
    <n v="1241.15"/>
    <n v="2247.37"/>
    <n v="774.35"/>
    <n v="175.04"/>
    <n v="296.95"/>
    <n v="0"/>
    <n v="65.06"/>
    <n v="4686.79"/>
    <n v="2469.41"/>
    <n v="1395.64"/>
    <n v="6.48"/>
    <n v="0"/>
    <n v="240.05"/>
    <n v="5000"/>
    <n v="8695"/>
    <n v="22"/>
    <n v="1743031.41"/>
    <n v="203.45"/>
    <n v="109773.31"/>
    <n v="736586.45"/>
    <n v="27050"/>
    <n v="192504.56"/>
    <n v="89480.3"/>
    <n v="36233.14"/>
    <n v="88210.85"/>
    <n v="62176.49"/>
    <x v="42"/>
    <n v="904"/>
    <n v="4347"/>
    <n v="1545"/>
    <n v="322"/>
    <n v="129992.84999999999"/>
    <n v="0.24577417223621573"/>
    <n v="9111.58"/>
    <n v="88440.53"/>
    <n v="0.16721225861947178"/>
    <n v="34682.11"/>
    <n v="0.0655725824663078"/>
    <n v="6099.599999999999"/>
    <n v="0"/>
    <n v="770.61"/>
    <n v="-4505.5400000000045"/>
    <n v="60.82941460609546"/>
    <n v="3.110983323749281"/>
    <n v="0.7352995327613816"/>
    <n v="-0.00851850977940064"/>
    <n v="-13617.120000000004"/>
    <n v="-0.02574554212974959"/>
  </r>
  <r>
    <x v="2"/>
    <x v="7"/>
    <x v="7"/>
    <s v="ULTRA POPULAR"/>
    <s v="RJ"/>
    <s v="APROVADO"/>
    <n v="563763.49"/>
    <n v="367752.38"/>
    <n v="0.3947891730497302"/>
    <n v="16541.81"/>
    <n v="5700.54"/>
    <n v="418893.61"/>
    <n v="144869.88"/>
    <n v="0.2569692478666896"/>
    <n v="5276.31"/>
    <n v="299"/>
    <n v="0"/>
    <n v="48003.25"/>
    <n v="14995.76"/>
    <n v="5333.16"/>
    <n v="7147.53"/>
    <n v="1852.07"/>
    <n v="5904.43"/>
    <n v="0"/>
    <n v="0"/>
    <n v="1714.22"/>
    <n v="385.09"/>
    <n v="0"/>
    <n v="1729.99"/>
    <n v="2370.5"/>
    <n v="9.37"/>
    <n v="0"/>
    <n v="716.17"/>
    <n v="846.64"/>
    <n v="21202.77"/>
    <n v="3554.6"/>
    <n v="64.65"/>
    <n v="216.71"/>
    <n v="3658.09"/>
    <n v="318.3"/>
    <n v="2514.36"/>
    <n v="56.14"/>
    <n v="3480.36"/>
    <n v="1015.63"/>
    <n v="0"/>
    <n v="257.46"/>
    <n v="0"/>
    <n v="63.48"/>
    <n v="4791.87"/>
    <n v="1953.3"/>
    <n v="0"/>
    <n v="6.48"/>
    <n v="0"/>
    <n v="5395.21"/>
    <n v="0"/>
    <n v="8692"/>
    <n v="23"/>
    <n v="1730589.22"/>
    <n v="203.45"/>
    <n v="148629.42"/>
    <n v="724175.64"/>
    <n v="26365"/>
    <n v="222532.31"/>
    <n v="94500.89"/>
    <n v="36143.21"/>
    <n v="86726.48"/>
    <n v="61124.54"/>
    <x v="43"/>
    <n v="900"/>
    <n v="4240"/>
    <n v="1516"/>
    <n v="312"/>
    <n v="127089.79000000002"/>
    <n v="0.2254310402399418"/>
    <n v="7354.99"/>
    <n v="83236.20000000001"/>
    <n v="0.14764382844302318"/>
    <n v="36081.60999999999"/>
    <n v="0.06400132438516015"/>
    <n v="6209.17"/>
    <n v="0"/>
    <n v="1562.81"/>
    <n v="-5439.680000000082"/>
    <n v="64.86004256787851"/>
    <n v="3.0332489645651175"/>
    <n v="0.7430307521333104"/>
    <n v="-0.009648868890037705"/>
    <n v="-12794.670000000082"/>
    <n v="-0.02269510216065975"/>
  </r>
  <r>
    <x v="3"/>
    <x v="7"/>
    <x v="7"/>
    <s v="ULTRA POPULAR"/>
    <s v="RJ"/>
    <s v="APROVADO"/>
    <n v="605807.42"/>
    <n v="393958.85"/>
    <n v="0.3940509515289008"/>
    <n v="11224.68"/>
    <n v="2926.21"/>
    <n v="435043.5"/>
    <n v="170763.92000000004"/>
    <n v="0.2818782246014749"/>
    <n v="7066.04"/>
    <n v="644.09"/>
    <n v="0"/>
    <n v="42000.07"/>
    <n v="15591.48"/>
    <n v="4666.21"/>
    <n v="8823.94"/>
    <n v="1681.07"/>
    <n v="3406.17"/>
    <n v="0"/>
    <n v="0"/>
    <n v="1714.22"/>
    <n v="385.09"/>
    <n v="35.31"/>
    <n v="1586.81"/>
    <n v="2338.54"/>
    <n v="9.37"/>
    <n v="0"/>
    <n v="291.16"/>
    <n v="1251.85"/>
    <n v="21202.77"/>
    <n v="3216.79"/>
    <n v="110.53"/>
    <n v="243.53"/>
    <n v="1522.01"/>
    <n v="266.9"/>
    <n v="3156.05"/>
    <n v="1290.47"/>
    <n v="2311.53"/>
    <n v="499.14"/>
    <n v="182.11"/>
    <n v="288.12"/>
    <n v="0"/>
    <n v="56.2"/>
    <n v="3712.09"/>
    <n v="1414.97"/>
    <n v="0"/>
    <n v="0"/>
    <n v="0"/>
    <n v="0"/>
    <n v="0"/>
    <n v="8687"/>
    <n v="20"/>
    <n v="1611150.34"/>
    <n v="203.45"/>
    <n v="145364.83"/>
    <n v="735032.91"/>
    <n v="26095"/>
    <n v="258377.39"/>
    <n v="105978.56"/>
    <n v="36964.42"/>
    <n v="81172.92"/>
    <n v="62101.92"/>
    <x v="44"/>
    <n v="880"/>
    <n v="4246"/>
    <n v="1521"/>
    <n v="294"/>
    <n v="117601.00999999998"/>
    <n v="0.1941227626429534"/>
    <n v="1414.97"/>
    <n v="76168.94"/>
    <n v="0.12573127612071835"/>
    <n v="33819.72"/>
    <n v="0.05582585964364715"/>
    <n v="6069.339999999999"/>
    <n v="0"/>
    <n v="1543.01"/>
    <n v="34599.950000000026"/>
    <n v="69.73724185564637"/>
    <n v="3.003913894324853"/>
    <n v="0.7181217753985251"/>
    <n v="0.057113777180213515"/>
    <n v="33184.980000000025"/>
    <n v="0.05477810093511239"/>
  </r>
  <r>
    <x v="4"/>
    <x v="7"/>
    <x v="7"/>
    <s v="ULTRA POPULAR"/>
    <s v="RJ"/>
    <s v="APROVADO"/>
    <n v="483771.93"/>
    <n v="324854.67"/>
    <n v="0.40173631438787694"/>
    <n v="7507.73"/>
    <n v="6553.73"/>
    <n v="342710.28"/>
    <n v="141061.64999999997"/>
    <n v="0.29158709146270634"/>
    <n v="9233.06"/>
    <n v="990"/>
    <n v="0"/>
    <n v="36866.99"/>
    <n v="19102.45"/>
    <n v="4095.92"/>
    <n v="7324.63"/>
    <n v="4009.95"/>
    <n v="3598.13"/>
    <n v="0"/>
    <n v="0"/>
    <n v="1714.22"/>
    <n v="385.09"/>
    <n v="0"/>
    <n v="1586.81"/>
    <n v="2556.14"/>
    <n v="9.37"/>
    <n v="0"/>
    <n v="380.02"/>
    <n v="681.82"/>
    <n v="21685.48"/>
    <n v="4081.59"/>
    <n v="124.11"/>
    <n v="236.81"/>
    <n v="969.77"/>
    <n v="571.15"/>
    <n v="1054.49"/>
    <n v="2868.98"/>
    <n v="3014.16"/>
    <n v="1307.96"/>
    <n v="0"/>
    <n v="289.61"/>
    <n v="0"/>
    <n v="45.58"/>
    <n v="3380.66"/>
    <n v="2321.97"/>
    <n v="0"/>
    <n v="6195.12"/>
    <n v="0"/>
    <n v="0"/>
    <n v="0"/>
    <n v="7711"/>
    <n v="21"/>
    <n v="1779460.12"/>
    <n v="203.45"/>
    <n v="116402.93"/>
    <n v="721769.11"/>
    <n v="22716"/>
    <n v="177067.82"/>
    <n v="93061.3"/>
    <n v="32300"/>
    <n v="73565.91"/>
    <n v="60211.21"/>
    <x v="45"/>
    <n v="846"/>
    <n v="3956"/>
    <n v="1508"/>
    <n v="283"/>
    <n v="118226.04000000001"/>
    <n v="0.24438383599478375"/>
    <n v="8517.09"/>
    <n v="74998.07"/>
    <n v="0.1550277421015312"/>
    <n v="35914.50000000001"/>
    <n v="0.0742384949866769"/>
    <n v="6251.63"/>
    <n v="0"/>
    <n v="1061.8400000000001"/>
    <n v="1687.720000000034"/>
    <n v="62.73789780832577"/>
    <n v="2.94592141097134"/>
    <n v="0.7084129085372937"/>
    <n v="0.0034886687204030912"/>
    <n v="-6829.369999999966"/>
    <n v="-0.01411692075643985"/>
  </r>
  <r>
    <x v="5"/>
    <x v="7"/>
    <x v="7"/>
    <s v="ULTRA POPULAR"/>
    <s v="RJ"/>
    <s v="APROVADO"/>
    <n v="518095.12"/>
    <n v="351106.88"/>
    <n v="0.403941638422369"/>
    <n v="12713.87"/>
    <n v="4869.05"/>
    <n v="371718.34"/>
    <n v="146376.77999999997"/>
    <n v="0.2825287757970003"/>
    <n v="5208.61"/>
    <n v="399"/>
    <n v="0"/>
    <n v="41114.88"/>
    <n v="20588.18"/>
    <n v="4567.86"/>
    <n v="6824.8"/>
    <n v="2972.32"/>
    <n v="3503.87"/>
    <n v="0"/>
    <n v="0"/>
    <n v="1714.22"/>
    <n v="385.09"/>
    <n v="46.69"/>
    <n v="1586.81"/>
    <n v="3807.91"/>
    <n v="9.37"/>
    <n v="391.9"/>
    <n v="319.59"/>
    <n v="613.82"/>
    <n v="21130.25"/>
    <n v="5789.7"/>
    <n v="96.86"/>
    <n v="252.72"/>
    <n v="1983.98"/>
    <n v="439.88"/>
    <n v="1443.84"/>
    <n v="56.14"/>
    <n v="3523.96"/>
    <n v="1601.16"/>
    <n v="64.27"/>
    <n v="236.8"/>
    <n v="0"/>
    <n v="51.9"/>
    <n v="0"/>
    <n v="2637.49"/>
    <n v="0"/>
    <n v="743.7"/>
    <n v="0"/>
    <n v="0"/>
    <n v="0"/>
    <n v="7800"/>
    <n v="22"/>
    <n v="1561420.83"/>
    <n v="203.45"/>
    <n v="142853.85"/>
    <n v="640936.28"/>
    <n v="23437"/>
    <n v="199495.2"/>
    <n v="97903.68"/>
    <n v="30993.8"/>
    <n v="74269.22"/>
    <n v="61795.29"/>
    <x v="46"/>
    <n v="917"/>
    <n v="4164"/>
    <n v="1596"/>
    <n v="296"/>
    <n v="124765.8"/>
    <n v="0.2408163968037375"/>
    <n v="3381.1899999999996"/>
    <n v="79571.91"/>
    <n v="0.15358552305993542"/>
    <n v="36318.490000000005"/>
    <n v="0.07010004263309796"/>
    <n v="7550.089999999999"/>
    <n v="0"/>
    <n v="1325.31"/>
    <n v="-1828.7200000000048"/>
    <n v="66.42245128205128"/>
    <n v="3.00474358974359"/>
    <n v="0.7174712242029997"/>
    <n v="-0.0035296993339755927"/>
    <n v="-5209.910000000004"/>
    <n v="-0.010055894755387785"/>
  </r>
  <r>
    <x v="0"/>
    <x v="8"/>
    <x v="8"/>
    <s v="ULTRA POPULAR"/>
    <s v="RJ"/>
    <s v="APROVADO"/>
    <n v="300520.63"/>
    <n v="172115.54"/>
    <n v="0.3641607454630482"/>
    <n v="8024.27"/>
    <n v="2323.39"/>
    <n v="198639.33"/>
    <n v="101881.30000000002"/>
    <n v="0.33901599367737256"/>
    <n v="2093.96"/>
    <n v="0"/>
    <n v="0"/>
    <n v="29684.79"/>
    <n v="7027.7"/>
    <n v="2301.52"/>
    <n v="3040"/>
    <n v="2333.54"/>
    <n v="1601.42"/>
    <n v="1412"/>
    <n v="0"/>
    <n v="1684.2"/>
    <n v="217"/>
    <n v="0"/>
    <n v="1586.81"/>
    <n v="1933.42"/>
    <n v="9.37"/>
    <n v="56.76"/>
    <n v="311.88"/>
    <n v="1320.32"/>
    <n v="10636.29"/>
    <n v="3878.91"/>
    <n v="120.02"/>
    <n v="290.23"/>
    <n v="278.49"/>
    <n v="203.18"/>
    <n v="586.87"/>
    <n v="54.09"/>
    <n v="812.62"/>
    <n v="444.19"/>
    <n v="0"/>
    <n v="151.29"/>
    <n v="0"/>
    <n v="63.38"/>
    <n v="2580.02"/>
    <n v="422.44"/>
    <n v="0"/>
    <n v="348.05"/>
    <n v="0"/>
    <n v="1935.98"/>
    <n v="5054.85"/>
    <n v="7937"/>
    <n v="11"/>
    <n v="1027657.48"/>
    <n v="144"/>
    <n v="0"/>
    <n v="336218.18"/>
    <n v="19705"/>
    <n v="79806.25"/>
    <n v="59308.8"/>
    <n v="28726.99"/>
    <n v="68199.15"/>
    <n v="31283.88"/>
    <x v="47"/>
    <n v="781"/>
    <n v="2723"/>
    <n v="965"/>
    <n v="293"/>
    <n v="71825.61999999998"/>
    <n v="0.23900395789799847"/>
    <n v="7761.320000000001"/>
    <n v="45988.969999999994"/>
    <n v="0.15303099158284073"/>
    <n v="17304.89"/>
    <n v="0.057583035148036255"/>
    <n v="5430.8"/>
    <n v="1412"/>
    <n v="1688.96"/>
    <n v="20106.169999999995"/>
    <n v="37.86325185838478"/>
    <n v="2.4826760740834066"/>
    <n v="0.6609840063226274"/>
    <n v="0.0669044584393424"/>
    <n v="12344.849999999995"/>
    <n v="0.041078211502484856"/>
  </r>
  <r>
    <x v="1"/>
    <x v="8"/>
    <x v="8"/>
    <s v="ULTRA POPULAR"/>
    <s v="RJ"/>
    <s v="APROVADO"/>
    <n v="291232.54"/>
    <n v="168960.75"/>
    <n v="0.3671517027117019"/>
    <n v="8463.39"/>
    <n v="4207.35"/>
    <n v="191220.43"/>
    <n v="100012.10999999999"/>
    <n v="0.3434098057861254"/>
    <n v="2021.56"/>
    <n v="0"/>
    <n v="0"/>
    <n v="22885.37"/>
    <n v="9207.31"/>
    <n v="2223.84"/>
    <n v="3351.23"/>
    <n v="2857.61"/>
    <n v="1732.48"/>
    <n v="0"/>
    <n v="0"/>
    <n v="1714.22"/>
    <n v="385.09"/>
    <n v="59.31"/>
    <n v="1640.14"/>
    <n v="1896.79"/>
    <n v="9.37"/>
    <n v="17.47"/>
    <n v="596.46"/>
    <n v="604.72"/>
    <n v="10636.29"/>
    <n v="3375.21"/>
    <n v="120.02"/>
    <n v="327.35"/>
    <n v="448.02"/>
    <n v="524.77"/>
    <n v="586.86"/>
    <n v="1858.59"/>
    <n v="1621.54"/>
    <n v="1303.92"/>
    <n v="175.04"/>
    <n v="163.19"/>
    <n v="0"/>
    <n v="76.08"/>
    <n v="5812.64"/>
    <n v="567.87"/>
    <n v="242.28"/>
    <n v="6.48"/>
    <n v="0"/>
    <n v="240.05"/>
    <n v="5000"/>
    <n v="7940"/>
    <n v="11"/>
    <n v="1010620.02"/>
    <n v="114"/>
    <n v="0"/>
    <n v="357849.03"/>
    <n v="19909"/>
    <n v="70569.04"/>
    <n v="56819.61"/>
    <n v="35107.03"/>
    <n v="66280.1"/>
    <n v="31661.32"/>
    <x v="37"/>
    <n v="789"/>
    <n v="2728"/>
    <n v="939"/>
    <n v="325"/>
    <n v="69983.98"/>
    <n v="0.24030274913648042"/>
    <n v="6056.68"/>
    <n v="42257.84000000001"/>
    <n v="0.14509999466405785"/>
    <n v="20802.57"/>
    <n v="0.07142941513335015"/>
    <n v="5704.92"/>
    <n v="0"/>
    <n v="1218.65"/>
    <n v="20886.320000000003"/>
    <n v="36.679161209068006"/>
    <n v="2.5074307304785894"/>
    <n v="0.6565901942138747"/>
    <n v="0.07171698602086156"/>
    <n v="14829.640000000003"/>
    <n v="0.05092027147790561"/>
  </r>
  <r>
    <x v="2"/>
    <x v="8"/>
    <x v="8"/>
    <s v="ULTRA POPULAR"/>
    <s v="RJ"/>
    <s v="APROVADO"/>
    <n v="301321.16"/>
    <n v="189992.55"/>
    <n v="0.3867031310809544"/>
    <n v="16521.85"/>
    <n v="3424.56"/>
    <n v="200020.01"/>
    <n v="101301.14999999997"/>
    <n v="0.3361899642228909"/>
    <n v="2233.48"/>
    <n v="316.2"/>
    <n v="0"/>
    <n v="24025.56"/>
    <n v="10784.3"/>
    <n v="2669.24"/>
    <n v="2663.07"/>
    <n v="1662.74"/>
    <n v="1609.52"/>
    <n v="0"/>
    <n v="0"/>
    <n v="1714.22"/>
    <n v="385.09"/>
    <n v="0"/>
    <n v="1729.99"/>
    <n v="1972.49"/>
    <n v="9.37"/>
    <n v="0"/>
    <n v="472.14"/>
    <n v="1483.6"/>
    <n v="10636.29"/>
    <n v="2560.34"/>
    <n v="120.02"/>
    <n v="421.78"/>
    <n v="3522.48"/>
    <n v="318.3"/>
    <n v="1454.15"/>
    <n v="46.23"/>
    <n v="2670.08"/>
    <n v="1324.18"/>
    <n v="0"/>
    <n v="257.46"/>
    <n v="0"/>
    <n v="81.64"/>
    <n v="1805.46"/>
    <n v="451.87"/>
    <n v="4308.77"/>
    <n v="6.48"/>
    <n v="0"/>
    <n v="5395.17"/>
    <n v="0"/>
    <n v="7865"/>
    <n v="12"/>
    <n v="1056682.76"/>
    <n v="114"/>
    <n v="0"/>
    <n v="331259.38"/>
    <n v="19956"/>
    <n v="77533.67"/>
    <n v="61228"/>
    <n v="31822.18"/>
    <n v="67944.52"/>
    <n v="31223.99"/>
    <x v="48"/>
    <n v="833"/>
    <n v="2656"/>
    <n v="873"/>
    <n v="330"/>
    <n v="74255.17999999998"/>
    <n v="0.24643201293928374"/>
    <n v="10162.29"/>
    <n v="43414.42999999999"/>
    <n v="0.14408025642805836"/>
    <n v="23073.850000000006"/>
    <n v="0.07657560458083995"/>
    <n v="5811.16"/>
    <n v="0"/>
    <n v="1955.7399999999998"/>
    <n v="6179.520000000008"/>
    <n v="38.311654164017796"/>
    <n v="2.537317228226319"/>
    <n v="0.6638100357771092"/>
    <n v="0.020508085127509824"/>
    <n v="-3982.769999999993"/>
    <n v="-0.013217691050970311"/>
  </r>
  <r>
    <x v="3"/>
    <x v="8"/>
    <x v="8"/>
    <s v="ULTRA POPULAR"/>
    <s v="RJ"/>
    <s v="APROVADO"/>
    <n v="309358.86"/>
    <n v="190126.74"/>
    <n v="0.380645087666191"/>
    <n v="8646.4"/>
    <n v="3611.3"/>
    <n v="206737.15"/>
    <n v="102621.70999999999"/>
    <n v="0.33172384330612026"/>
    <n v="2256.55"/>
    <n v="93.45"/>
    <n v="0"/>
    <n v="27941.19"/>
    <n v="10393.64"/>
    <n v="3104.27"/>
    <n v="2998.22"/>
    <n v="2817.04"/>
    <n v="1647.43"/>
    <n v="0"/>
    <n v="0"/>
    <n v="1714.22"/>
    <n v="385.09"/>
    <n v="35.31"/>
    <n v="1586.81"/>
    <n v="1940.53"/>
    <n v="9.37"/>
    <n v="0"/>
    <n v="291.16"/>
    <n v="2071.85"/>
    <n v="10853.02"/>
    <n v="1507.15"/>
    <n v="120.02"/>
    <n v="448.6"/>
    <n v="1351.75"/>
    <n v="266.9"/>
    <n v="3865.26"/>
    <n v="1280.56"/>
    <n v="2274.84"/>
    <n v="761.73"/>
    <n v="182.11"/>
    <n v="288.11"/>
    <n v="0"/>
    <n v="87.04"/>
    <n v="6575.69"/>
    <n v="186.11"/>
    <n v="0"/>
    <n v="0"/>
    <n v="0"/>
    <n v="0"/>
    <n v="0"/>
    <n v="8365"/>
    <n v="11"/>
    <n v="999174.32"/>
    <n v="114"/>
    <n v="0"/>
    <n v="331051.78"/>
    <n v="20684"/>
    <n v="83591.53"/>
    <n v="58441.3"/>
    <n v="33888.09"/>
    <n v="71680.25"/>
    <n v="33007.02"/>
    <x v="49"/>
    <n v="830"/>
    <n v="2667"/>
    <n v="813"/>
    <n v="312"/>
    <n v="79665.95999999998"/>
    <n v="0.2575195680511623"/>
    <n v="186.11"/>
    <n v="48901.79"/>
    <n v="0.15807463862518759"/>
    <n v="22729.83"/>
    <n v="0.07347399069158712"/>
    <n v="5671.33"/>
    <n v="0"/>
    <n v="2363.0099999999998"/>
    <n v="14540.559999999981"/>
    <n v="36.98252958756724"/>
    <n v="2.4726838015540946"/>
    <n v="0.6682761566938797"/>
    <n v="0.04700224199171144"/>
    <n v="14354.44999999998"/>
    <n v="0.046400642929703"/>
  </r>
  <r>
    <x v="4"/>
    <x v="8"/>
    <x v="8"/>
    <s v="ULTRA POPULAR"/>
    <s v="RJ"/>
    <s v="APROVADO"/>
    <n v="285157"/>
    <n v="175148.98"/>
    <n v="0.3805055498084123"/>
    <n v="7487.76"/>
    <n v="4868.34"/>
    <n v="192969.61"/>
    <n v="92187.39000000001"/>
    <n v="0.32328643519184175"/>
    <n v="3497.92"/>
    <n v="990"/>
    <n v="0"/>
    <n v="19882.4"/>
    <n v="11180.84"/>
    <n v="2208.93"/>
    <n v="2495.35"/>
    <n v="2710.17"/>
    <n v="1849.05"/>
    <n v="0"/>
    <n v="0"/>
    <n v="1714.22"/>
    <n v="385.09"/>
    <n v="132"/>
    <n v="1586.81"/>
    <n v="2114.59"/>
    <n v="9.37"/>
    <n v="0"/>
    <n v="380.05"/>
    <n v="1501.82"/>
    <n v="10891.27"/>
    <n v="1663.89"/>
    <n v="120.02"/>
    <n v="448.6"/>
    <n v="805.41"/>
    <n v="571.15"/>
    <n v="5913.68"/>
    <n v="46.23"/>
    <n v="1994.99"/>
    <n v="691.55"/>
    <n v="0"/>
    <n v="289.61"/>
    <n v="0"/>
    <n v="86.39"/>
    <n v="1543.11"/>
    <n v="1074.59"/>
    <n v="260.74"/>
    <n v="0"/>
    <n v="787.12"/>
    <n v="0"/>
    <n v="0"/>
    <n v="7425"/>
    <n v="15"/>
    <n v="1038103.28"/>
    <n v="114"/>
    <n v="0"/>
    <n v="357052.41"/>
    <n v="17826"/>
    <n v="75222.22"/>
    <n v="57277.58"/>
    <n v="29575.83"/>
    <n v="65601.86"/>
    <n v="30377.23"/>
    <x v="50"/>
    <n v="825"/>
    <n v="2630"/>
    <n v="937"/>
    <n v="328"/>
    <n v="71297.48000000001"/>
    <n v="0.2500288612939539"/>
    <n v="2122.45"/>
    <n v="40326.74"/>
    <n v="0.14141942859547546"/>
    <n v="23146.79"/>
    <n v="0.08117209116381502"/>
    <n v="5942.08"/>
    <n v="0"/>
    <n v="1881.87"/>
    <n v="5385.779999999978"/>
    <n v="38.404983164983165"/>
    <n v="2.4008080808080807"/>
    <n v="0.6767135648081583"/>
    <n v="0.01888706922853017"/>
    <n v="3263.329999999978"/>
    <n v="0.011443976476116589"/>
  </r>
  <r>
    <x v="5"/>
    <x v="8"/>
    <x v="8"/>
    <s v="ULTRA POPULAR"/>
    <s v="RJ"/>
    <s v="APROVADO"/>
    <n v="273601.06"/>
    <n v="169074.69"/>
    <n v="0.3819379986366997"/>
    <n v="12693.9"/>
    <n v="3752.48"/>
    <n v="179607.18"/>
    <n v="93993.88"/>
    <n v="0.3435435520607998"/>
    <n v="1884.63"/>
    <n v="399"/>
    <n v="0"/>
    <n v="17825.54"/>
    <n v="10193.11"/>
    <n v="1980.42"/>
    <n v="3439.91"/>
    <n v="3012.18"/>
    <n v="1644.15"/>
    <n v="0"/>
    <n v="0"/>
    <n v="1714.22"/>
    <n v="385.09"/>
    <n v="46.69"/>
    <n v="1638.8"/>
    <n v="2967.05"/>
    <n v="9.37"/>
    <n v="308.44"/>
    <n v="986.46"/>
    <n v="1433.82"/>
    <n v="10891.27"/>
    <n v="2223.2"/>
    <n v="120.02"/>
    <n v="453.62"/>
    <n v="1957.93"/>
    <n v="439.88"/>
    <n v="713.04"/>
    <n v="247.06"/>
    <n v="2133.04"/>
    <n v="1210.75"/>
    <n v="49.54"/>
    <n v="236.79"/>
    <n v="0"/>
    <n v="72.94"/>
    <n v="0"/>
    <n v="610.79"/>
    <n v="0"/>
    <n v="0"/>
    <n v="0"/>
    <n v="0"/>
    <n v="0"/>
    <n v="7646"/>
    <n v="12"/>
    <n v="934739.48"/>
    <n v="114"/>
    <n v="0"/>
    <n v="313536.28"/>
    <n v="17817"/>
    <n v="72777.37"/>
    <n v="56157.35"/>
    <n v="27252.46"/>
    <n v="61657.16"/>
    <n v="31033.04"/>
    <x v="51"/>
    <n v="877"/>
    <n v="2694"/>
    <n v="972"/>
    <n v="314"/>
    <n v="67975.06"/>
    <n v="0.24844589417891874"/>
    <n v="610.79"/>
    <n v="38095.31"/>
    <n v="0.13923670471159724"/>
    <n v="20389.810000000005"/>
    <n v="0.07452387063120298"/>
    <n v="6761.22"/>
    <n v="0"/>
    <n v="2728.7200000000003"/>
    <n v="7075.419999999997"/>
    <n v="35.78355479989537"/>
    <n v="2.33023803295841"/>
    <n v="0.6564564479392002"/>
    <n v="0.02586035302641005"/>
    <n v="6464.629999999997"/>
    <n v="0.023627942084727294"/>
  </r>
  <r>
    <x v="0"/>
    <x v="9"/>
    <x v="9"/>
    <s v="ULTRA POPULAR"/>
    <s v="RJ"/>
    <s v="APROVADO"/>
    <n v="152819.21"/>
    <n v="105521.51"/>
    <n v="0.4084586820072345"/>
    <n v="8025.28"/>
    <n v="2223.83"/>
    <n v="106298.73"/>
    <n v="46520.479999999996"/>
    <n v="0.3044151321028292"/>
    <n v="1314.97"/>
    <n v="0"/>
    <n v="0"/>
    <n v="17847.76"/>
    <n v="2802.12"/>
    <n v="1609.29"/>
    <n v="2558.68"/>
    <n v="568.92"/>
    <n v="1140.22"/>
    <n v="0"/>
    <n v="0"/>
    <n v="1654.6"/>
    <n v="217"/>
    <n v="0"/>
    <n v="1586.81"/>
    <n v="2129.55"/>
    <n v="9.37"/>
    <n v="37.26"/>
    <n v="2038.87"/>
    <n v="1320.3"/>
    <n v="10798.49"/>
    <n v="4289.48"/>
    <n v="97.05"/>
    <n v="166.83"/>
    <n v="179.48"/>
    <n v="203.1"/>
    <n v="637.36"/>
    <n v="26.2"/>
    <n v="1736.58"/>
    <n v="682.41"/>
    <n v="76.92"/>
    <n v="0"/>
    <n v="0"/>
    <n v="17.07"/>
    <n v="1387.75"/>
    <n v="1902.34"/>
    <n v="0"/>
    <n v="40.42"/>
    <n v="0"/>
    <n v="1936.03"/>
    <n v="5027.89"/>
    <n v="3648"/>
    <n v="7"/>
    <n v="740992.75"/>
    <n v="186"/>
    <n v="21460.11"/>
    <n v="167295.15"/>
    <n v="8971"/>
    <n v="44650.62"/>
    <n v="30463.01"/>
    <n v="14154.29"/>
    <n v="30209.96"/>
    <n v="18253.57"/>
    <x v="52"/>
    <n v="632"/>
    <n v="2485"/>
    <n v="923"/>
    <n v="250"/>
    <n v="54337.73000000001"/>
    <n v="0.3555687141688536"/>
    <n v="8906.68"/>
    <n v="26526.989999999998"/>
    <n v="0.17358413251841834"/>
    <n v="18816.98"/>
    <n v="0.12313229468991498"/>
    <n v="5597.33"/>
    <n v="0"/>
    <n v="3396.4300000000003"/>
    <n v="-18053.429999999986"/>
    <n v="41.89123081140351"/>
    <n v="2.459155701754386"/>
    <n v="0.6955848678971708"/>
    <n v="-0.11813586786634996"/>
    <n v="-26960.109999999986"/>
    <n v="-0.17641833117708164"/>
  </r>
  <r>
    <x v="1"/>
    <x v="9"/>
    <x v="9"/>
    <s v="ULTRA POPULAR"/>
    <s v="RJ"/>
    <s v="APROVADO"/>
    <n v="158754.82"/>
    <n v="108913.18"/>
    <n v="0.40689652853534974"/>
    <n v="8463.4"/>
    <n v="2227.76"/>
    <n v="112656.37"/>
    <n v="46098.45000000001"/>
    <n v="0.29037512057901615"/>
    <n v="1264.16"/>
    <n v="0"/>
    <n v="0"/>
    <n v="14712.85"/>
    <n v="4943.18"/>
    <n v="1572.26"/>
    <n v="3408.49"/>
    <n v="1552.19"/>
    <n v="1596.08"/>
    <n v="0"/>
    <n v="0"/>
    <n v="1714.22"/>
    <n v="385.09"/>
    <n v="109.31"/>
    <n v="1586.81"/>
    <n v="1902.42"/>
    <n v="9.37"/>
    <n v="17.46"/>
    <n v="726.3"/>
    <n v="156.76"/>
    <n v="10798.49"/>
    <n v="4783.84"/>
    <n v="97.05"/>
    <n v="245.76"/>
    <n v="518.14"/>
    <n v="524.77"/>
    <n v="618.36"/>
    <n v="2828"/>
    <n v="2571.54"/>
    <n v="705.1"/>
    <n v="175.04"/>
    <n v="93.8"/>
    <n v="0"/>
    <n v="11.47"/>
    <n v="1387.75"/>
    <n v="1365.66"/>
    <n v="5137.55"/>
    <n v="6.48"/>
    <n v="0"/>
    <n v="240.1"/>
    <n v="5000"/>
    <n v="3745"/>
    <n v="9"/>
    <n v="760770.97"/>
    <n v="121.24"/>
    <n v="22348.63"/>
    <n v="206435.87"/>
    <n v="9399"/>
    <n v="46746.65"/>
    <n v="31029.76"/>
    <n v="15331.38"/>
    <n v="30861.71"/>
    <n v="17175.26"/>
    <x v="53"/>
    <n v="655"/>
    <n v="2467"/>
    <n v="916"/>
    <n v="267"/>
    <n v="58083.84000000001"/>
    <n v="0.3658713480321417"/>
    <n v="11749.79"/>
    <n v="27785.049999999996"/>
    <n v="0.17501862305661015"/>
    <n v="23691.05"/>
    <n v="0.14923042966506464"/>
    <n v="5707.22"/>
    <n v="0"/>
    <n v="900.52"/>
    <n v="-22810.329999999994"/>
    <n v="42.39114018691589"/>
    <n v="2.509746328437917"/>
    <n v="0.7096248794209838"/>
    <n v="-0.14368275558499574"/>
    <n v="-34560.119999999995"/>
    <n v="-0.21769493360894487"/>
  </r>
  <r>
    <x v="2"/>
    <x v="9"/>
    <x v="9"/>
    <s v="ULTRA POPULAR"/>
    <s v="RJ"/>
    <s v="APROVADO"/>
    <n v="172394.53"/>
    <n v="128355.39"/>
    <n v="0.42678445267749365"/>
    <n v="16521.89"/>
    <n v="1534"/>
    <n v="122334.76"/>
    <n v="50059.770000000004"/>
    <n v="0.29037910889632057"/>
    <n v="1540.65"/>
    <n v="398.99"/>
    <n v="0"/>
    <n v="20056.38"/>
    <n v="6217.96"/>
    <n v="2228.26"/>
    <n v="3916.59"/>
    <n v="1863.55"/>
    <n v="1723.41"/>
    <n v="0"/>
    <n v="0"/>
    <n v="1714.22"/>
    <n v="385.09"/>
    <n v="0"/>
    <n v="1729.99"/>
    <n v="1981.19"/>
    <n v="9.37"/>
    <n v="0"/>
    <n v="462.58"/>
    <n v="563.64"/>
    <n v="10798.49"/>
    <n v="2966.85"/>
    <n v="101.55"/>
    <n v="240.2"/>
    <n v="3533.88"/>
    <n v="318.3"/>
    <n v="564.36"/>
    <n v="0"/>
    <n v="3480.39"/>
    <n v="919.32"/>
    <n v="0"/>
    <n v="257.37"/>
    <n v="0"/>
    <n v="15.56"/>
    <n v="1364.09"/>
    <n v="2105.27"/>
    <n v="361.76"/>
    <n v="6.48"/>
    <n v="0"/>
    <n v="5395.25"/>
    <n v="0"/>
    <n v="3938"/>
    <n v="9"/>
    <n v="754140.55"/>
    <n v="121.24"/>
    <n v="30659.55"/>
    <n v="223541.81"/>
    <n v="9357"/>
    <n v="51597.69"/>
    <n v="36724.88"/>
    <n v="15357"/>
    <n v="28327.04"/>
    <n v="20050.78"/>
    <x v="54"/>
    <n v="697"/>
    <n v="2435"/>
    <n v="902"/>
    <n v="263"/>
    <n v="65775.57"/>
    <n v="0.38154093404239686"/>
    <n v="7868.76"/>
    <n v="36006.15"/>
    <n v="0.20885900498119053"/>
    <n v="22923.34"/>
    <n v="0.13297022823171942"/>
    <n v="5819.86"/>
    <n v="0"/>
    <n v="1026.22"/>
    <n v="-34589.049999999996"/>
    <n v="43.77717877094972"/>
    <n v="2.376079228034535"/>
    <n v="0.7096208911036794"/>
    <n v="-0.20063890658247682"/>
    <n v="-42457.81"/>
    <n v="-0.2462828141936986"/>
  </r>
  <r>
    <x v="3"/>
    <x v="9"/>
    <x v="9"/>
    <s v="ULTRA POPULAR"/>
    <s v="RJ"/>
    <s v="APROVADO"/>
    <n v="184787.6"/>
    <n v="131407.35"/>
    <n v="0.415589654420477"/>
    <n v="7521.44"/>
    <n v="1805.07"/>
    <n v="131100.81"/>
    <n v="53686.79000000001"/>
    <n v="0.2905324275005466"/>
    <n v="1508.72"/>
    <n v="188.14"/>
    <n v="0"/>
    <n v="22086.73"/>
    <n v="6335.61"/>
    <n v="2453.84"/>
    <n v="3974.22"/>
    <n v="1882.12"/>
    <n v="1706.81"/>
    <n v="0"/>
    <n v="0"/>
    <n v="1714.22"/>
    <n v="385.09"/>
    <n v="35.31"/>
    <n v="1586.81"/>
    <n v="1949.19"/>
    <n v="9.37"/>
    <n v="0"/>
    <n v="426.1"/>
    <n v="1251.85"/>
    <n v="10798.49"/>
    <n v="2361.2"/>
    <n v="101.55"/>
    <n v="267.02"/>
    <n v="1448.97"/>
    <n v="266.9"/>
    <n v="849.53"/>
    <n v="347.88"/>
    <n v="2324.42"/>
    <n v="469.54"/>
    <n v="182.1"/>
    <n v="288.09"/>
    <n v="0"/>
    <n v="11.44"/>
    <n v="4410.86"/>
    <n v="1672.23"/>
    <n v="10726.11"/>
    <n v="0"/>
    <n v="0"/>
    <n v="0"/>
    <n v="0"/>
    <n v="4052"/>
    <n v="8"/>
    <n v="710362.42"/>
    <n v="121.24"/>
    <n v="41337.38"/>
    <n v="255028.8"/>
    <n v="9398"/>
    <n v="59588.65"/>
    <n v="39849.16"/>
    <n v="15777.45"/>
    <n v="32101.42"/>
    <n v="18274.77"/>
    <x v="55"/>
    <n v="700"/>
    <n v="2406"/>
    <n v="851"/>
    <n v="242"/>
    <n v="65032.76999999999"/>
    <n v="0.35193254309271826"/>
    <n v="12398.34"/>
    <n v="38439.33"/>
    <n v="0.20801899045174027"/>
    <n v="19235.5"/>
    <n v="0.10409518820526918"/>
    <n v="5679.99"/>
    <n v="0"/>
    <n v="1677.9499999999998"/>
    <n v="-18417.240000000005"/>
    <n v="45.6040473840079"/>
    <n v="2.3193484698914117"/>
    <n v="0.7094675724994534"/>
    <n v="-0.09966707722812572"/>
    <n v="-30815.580000000005"/>
    <n v="-0.16676216369496658"/>
  </r>
  <r>
    <x v="4"/>
    <x v="9"/>
    <x v="9"/>
    <s v="ULTRA POPULAR"/>
    <s v="RJ"/>
    <s v="APROVADO"/>
    <n v="168145.86"/>
    <n v="115064.09"/>
    <n v="0.40628547831741085"/>
    <n v="7488.86"/>
    <n v="1579.85"/>
    <n v="117511.99"/>
    <n v="50633.86999999998"/>
    <n v="0.30113063741206586"/>
    <n v="3094.93"/>
    <n v="990"/>
    <n v="0"/>
    <n v="20221.72"/>
    <n v="6296.21"/>
    <n v="2246.63"/>
    <n v="3619.28"/>
    <n v="2756.61"/>
    <n v="1681.84"/>
    <n v="0"/>
    <n v="0"/>
    <n v="1714.22"/>
    <n v="385.09"/>
    <n v="0"/>
    <n v="1586.81"/>
    <n v="2123.26"/>
    <n v="9.41"/>
    <n v="0"/>
    <n v="380.05"/>
    <n v="1064.62"/>
    <n v="12405.62"/>
    <n v="0"/>
    <n v="0"/>
    <n v="267.02"/>
    <n v="690.79"/>
    <n v="571.15"/>
    <n v="3307.96"/>
    <n v="3152.41"/>
    <n v="3014.15"/>
    <n v="1002.75"/>
    <n v="0"/>
    <n v="289.63"/>
    <n v="0"/>
    <n v="13.74"/>
    <n v="1109.76"/>
    <n v="505.4"/>
    <n v="0"/>
    <n v="0"/>
    <n v="0"/>
    <n v="0"/>
    <n v="0"/>
    <n v="3567"/>
    <n v="10"/>
    <n v="747830.9"/>
    <n v="121.24"/>
    <n v="33390.29"/>
    <n v="241977.11"/>
    <n v="8737"/>
    <n v="54135.14"/>
    <n v="37455.55"/>
    <n v="15066.65"/>
    <n v="26789.87"/>
    <n v="17387.02"/>
    <x v="56"/>
    <n v="683"/>
    <n v="2237"/>
    <n v="864"/>
    <n v="252"/>
    <n v="68497.59999999999"/>
    <n v="0.4073701249617445"/>
    <n v="505.4"/>
    <n v="36822.28999999999"/>
    <n v="0.21899016722742978"/>
    <n v="24411.850000000002"/>
    <n v="0.1451825813612063"/>
    <n v="5818.79"/>
    <n v="0"/>
    <n v="1444.6699999999998"/>
    <n v="-30183.50000000002"/>
    <n v="47.13929352396972"/>
    <n v="2.4493972525932155"/>
    <n v="0.6988693625879342"/>
    <n v="-0.17950783920579444"/>
    <n v="-30688.90000000002"/>
    <n v="-0.18251356292685422"/>
  </r>
  <r>
    <x v="5"/>
    <x v="9"/>
    <x v="9"/>
    <s v="ULTRA POPULAR"/>
    <s v="RJ"/>
    <s v="APROVADO"/>
    <n v="170729.02"/>
    <n v="131616.3"/>
    <n v="0.4353178015125222"/>
    <n v="12693.92"/>
    <n v="2289.22"/>
    <n v="122847.55"/>
    <n v="47881.46999999999"/>
    <n v="0.28045302433060293"/>
    <n v="1535.68"/>
    <n v="399"/>
    <n v="0"/>
    <n v="32662.02"/>
    <n v="6608.44"/>
    <n v="3628.75"/>
    <n v="3398.97"/>
    <n v="2252.8"/>
    <n v="1622.1"/>
    <n v="0"/>
    <n v="0"/>
    <n v="1714.22"/>
    <n v="385.09"/>
    <n v="46.69"/>
    <n v="1638.8"/>
    <n v="2975.72"/>
    <n v="9.37"/>
    <n v="0"/>
    <n v="202.71"/>
    <n v="2713.82"/>
    <n v="13000"/>
    <n v="4596.65"/>
    <n v="203.1"/>
    <n v="275.34"/>
    <n v="1895.53"/>
    <n v="439.88"/>
    <n v="677.31"/>
    <n v="0"/>
    <n v="2615.94"/>
    <n v="1122.74"/>
    <n v="30.22"/>
    <n v="236.8"/>
    <n v="0"/>
    <n v="21.82"/>
    <n v="0"/>
    <n v="1103.22"/>
    <n v="522.6"/>
    <n v="743.7"/>
    <n v="0"/>
    <n v="0"/>
    <n v="0"/>
    <n v="3572"/>
    <n v="9"/>
    <n v="694421.82"/>
    <n v="121.24"/>
    <n v="34923.67"/>
    <n v="212346.91"/>
    <n v="8642"/>
    <n v="58643.11"/>
    <n v="36747.22"/>
    <n v="12625.14"/>
    <n v="28134.51"/>
    <n v="14584.18"/>
    <x v="57"/>
    <n v="752"/>
    <n v="2230"/>
    <n v="884"/>
    <n v="249"/>
    <n v="84685.99"/>
    <n v="0.49602574887385875"/>
    <n v="2369.5200000000004"/>
    <n v="50173.08"/>
    <n v="0.29387552274358514"/>
    <n v="24826.49"/>
    <n v="0.14541458739703422"/>
    <n v="6769.89"/>
    <n v="0"/>
    <n v="2916.53"/>
    <n v="-53967.54000000001"/>
    <n v="47.79647816349384"/>
    <n v="2.4193729003359463"/>
    <n v="0.7195469756693971"/>
    <n v="-0.31610056685149374"/>
    <n v="-56337.06000000001"/>
    <n v="-0.3299794024472232"/>
  </r>
  <r>
    <x v="0"/>
    <x v="10"/>
    <x v="10"/>
    <s v="ULTRA POPULAR"/>
    <s v="RJ"/>
    <s v="APROVADO"/>
    <n v="574875.03"/>
    <n v="348833.51"/>
    <n v="0.3776445652434912"/>
    <n v="8165.82"/>
    <n v="6243.21"/>
    <n v="396308.78"/>
    <n v="178566.25"/>
    <n v="0.3106175093393776"/>
    <n v="5312.73"/>
    <n v="981.72"/>
    <n v="0"/>
    <n v="54450.13"/>
    <n v="13024.89"/>
    <n v="3520.71"/>
    <n v="7955.22"/>
    <n v="8093.62"/>
    <n v="2747.26"/>
    <n v="0"/>
    <n v="0"/>
    <n v="1739.56"/>
    <n v="217"/>
    <n v="0"/>
    <n v="1803.71"/>
    <n v="2557.17"/>
    <n v="9.37"/>
    <n v="93.25"/>
    <n v="2533.62"/>
    <n v="1320.34"/>
    <n v="34891.82"/>
    <n v="5208.06"/>
    <n v="0"/>
    <n v="360.09"/>
    <n v="2158.13"/>
    <n v="203.1"/>
    <n v="4758.83"/>
    <n v="880.65"/>
    <n v="5349.35"/>
    <n v="18107.02"/>
    <n v="44.96"/>
    <n v="801.59"/>
    <n v="0"/>
    <n v="130.84"/>
    <n v="5263.88"/>
    <n v="1538.92"/>
    <n v="0"/>
    <n v="84417.2"/>
    <n v="112973.45"/>
    <n v="0"/>
    <n v="4191.1"/>
    <n v="9984"/>
    <n v="21"/>
    <n v="2121299"/>
    <n v="168"/>
    <n v="0"/>
    <n v="1226418.09"/>
    <n v="26377"/>
    <n v="214426.57"/>
    <n v="110005.81"/>
    <n v="42492.87"/>
    <n v="113984.9"/>
    <n v="62772.1"/>
    <x v="58"/>
    <n v="917"/>
    <n v="4563"/>
    <n v="1442"/>
    <n v="333"/>
    <n v="171982.89999999997"/>
    <n v="0.29916571606876013"/>
    <n v="203120.67"/>
    <n v="89791.82999999999"/>
    <n v="0.15619365134018776"/>
    <n v="71917.04999999999"/>
    <n v="0.12510031962946797"/>
    <n v="6326.81"/>
    <n v="0"/>
    <n v="3947.21"/>
    <n v="-9571.959999999905"/>
    <n v="57.57963040865385"/>
    <n v="2.6419270833333335"/>
    <n v="0.6893824906606224"/>
    <n v="-0.016650505762965395"/>
    <n v="-212692.62999999992"/>
    <n v="-0.36998063735695724"/>
  </r>
  <r>
    <x v="1"/>
    <x v="10"/>
    <x v="10"/>
    <s v="ULTRA POPULAR"/>
    <s v="RJ"/>
    <s v="APROVADO"/>
    <n v="754239.67"/>
    <n v="434002.51"/>
    <n v="0.36524752050125"/>
    <n v="8258.92"/>
    <n v="8643.02"/>
    <n v="527907.73"/>
    <n v="226331.94000000006"/>
    <n v="0.3000796020182816"/>
    <n v="6228.19"/>
    <n v="134.74"/>
    <n v="0"/>
    <n v="50274.35"/>
    <n v="16265.84"/>
    <n v="5052.5"/>
    <n v="8958.9"/>
    <n v="4059.48"/>
    <n v="2945.43"/>
    <n v="0"/>
    <n v="0"/>
    <n v="1714.26"/>
    <n v="385.09"/>
    <n v="59.28"/>
    <n v="1897.04"/>
    <n v="2525"/>
    <n v="9.37"/>
    <n v="17.46"/>
    <n v="596.41"/>
    <n v="363.58"/>
    <n v="34891.82"/>
    <n v="4148.87"/>
    <n v="0"/>
    <n v="451.37"/>
    <n v="3820.98"/>
    <n v="1145.28"/>
    <n v="4582.75"/>
    <n v="212.68"/>
    <n v="4609.48"/>
    <n v="21875.13"/>
    <n v="0"/>
    <n v="632.32"/>
    <n v="0"/>
    <n v="116.29"/>
    <n v="5263.88"/>
    <n v="1231.63"/>
    <n v="12541.8"/>
    <n v="35638.14"/>
    <n v="48144.46"/>
    <n v="0"/>
    <n v="1027.95"/>
    <n v="12967"/>
    <n v="27"/>
    <n v="2255934.38"/>
    <n v="168"/>
    <n v="0"/>
    <n v="1474632.41"/>
    <n v="35515"/>
    <n v="252378.93"/>
    <n v="126431.07"/>
    <n v="54776.88"/>
    <n v="179896.48"/>
    <n v="89486.29"/>
    <x v="59"/>
    <n v="949"/>
    <n v="4748"/>
    <n v="1522"/>
    <n v="353"/>
    <n v="170862.34999999998"/>
    <n v="0.22653588348117512"/>
    <n v="98583.98"/>
    <n v="87556.49999999999"/>
    <n v="0.1160857794711328"/>
    <n v="75738.36000000002"/>
    <n v="0.10041683434656787"/>
    <n v="6590.04"/>
    <n v="0"/>
    <n v="977.45"/>
    <n v="36952.57000000005"/>
    <n v="58.166088532428475"/>
    <n v="2.738875607310866"/>
    <n v="0.6999203979817183"/>
    <n v="0.04899314033694362"/>
    <n v="-61631.409999999945"/>
    <n v="-0.08171329678270561"/>
  </r>
  <r>
    <x v="2"/>
    <x v="10"/>
    <x v="10"/>
    <s v="ULTRA POPULAR"/>
    <s v="RJ"/>
    <s v="APROVADO"/>
    <n v="804625.02"/>
    <n v="447255.36"/>
    <n v="0.3572668500484048"/>
    <n v="9566.18"/>
    <n v="887.25"/>
    <n v="566774.75"/>
    <n v="237850.27000000002"/>
    <n v="0.29560387023510654"/>
    <n v="6982.21"/>
    <n v="1689.96"/>
    <n v="0"/>
    <n v="43875.13"/>
    <n v="17233.73"/>
    <n v="4874.53"/>
    <n v="10510.77"/>
    <n v="4921.55"/>
    <n v="3875.74"/>
    <n v="0"/>
    <n v="0"/>
    <n v="1714.22"/>
    <n v="385.1"/>
    <n v="0"/>
    <n v="1946.89"/>
    <n v="2739.45"/>
    <n v="9.37"/>
    <n v="0"/>
    <n v="677.35"/>
    <n v="7523.64"/>
    <n v="40323.67"/>
    <n v="2885.39"/>
    <n v="0"/>
    <n v="431.11"/>
    <n v="1001.45"/>
    <n v="318.34"/>
    <n v="7691.29"/>
    <n v="61.65"/>
    <n v="5196.51"/>
    <n v="25506.85"/>
    <n v="0"/>
    <n v="803.07"/>
    <n v="0"/>
    <n v="127.27"/>
    <n v="7658.46"/>
    <n v="957.01"/>
    <n v="0"/>
    <n v="42690.81"/>
    <n v="11772.42"/>
    <n v="0"/>
    <n v="9973.9"/>
    <n v="13122"/>
    <n v="24"/>
    <n v="2394478.29"/>
    <n v="168"/>
    <n v="0"/>
    <n v="1451645.96"/>
    <n v="36815"/>
    <n v="277889.25"/>
    <n v="131622.62"/>
    <n v="56255.02"/>
    <n v="185840.81"/>
    <n v="102864.87"/>
    <x v="60"/>
    <n v="952"/>
    <n v="4703"/>
    <n v="1468"/>
    <n v="355"/>
    <n v="183703.73000000004"/>
    <n v="0.2283097411015134"/>
    <n v="65394.14"/>
    <n v="85291.45000000001"/>
    <n v="0.10600148874316637"/>
    <n v="83416.26"/>
    <n v="0.10367097458639801"/>
    <n v="6795.03"/>
    <n v="0"/>
    <n v="8200.99"/>
    <n v="42003.60000000001"/>
    <n v="61.31877914951989"/>
    <n v="2.8055936595031246"/>
    <n v="0.7043961297648934"/>
    <n v="0.05220270182500665"/>
    <n v="-23390.539999999986"/>
    <n v="-0.02907011268429111"/>
  </r>
  <r>
    <x v="3"/>
    <x v="10"/>
    <x v="10"/>
    <s v="ULTRA POPULAR"/>
    <s v="RJ"/>
    <s v="APROVADO"/>
    <n v="810867.06"/>
    <n v="435522.45"/>
    <n v="0.3494272428528382"/>
    <n v="5426.29"/>
    <n v="3729.36"/>
    <n v="576235.29"/>
    <n v="234631.77000000002"/>
    <n v="0.2893591090011722"/>
    <n v="8006.64"/>
    <n v="1528.18"/>
    <n v="0"/>
    <n v="46865.3"/>
    <n v="20366.78"/>
    <n v="5206.73"/>
    <n v="9652.88"/>
    <n v="4561.74"/>
    <n v="3881.26"/>
    <n v="0"/>
    <n v="0"/>
    <n v="1714.22"/>
    <n v="385.09"/>
    <n v="35.31"/>
    <n v="2003.71"/>
    <n v="2869.1"/>
    <n v="9.37"/>
    <n v="130.21"/>
    <n v="975.11"/>
    <n v="8391.85"/>
    <n v="35249.03"/>
    <n v="1965.02"/>
    <n v="0"/>
    <n v="457.93"/>
    <n v="1812.73"/>
    <n v="266.97"/>
    <n v="2624.77"/>
    <n v="842.61"/>
    <n v="4764.55"/>
    <n v="18110.29"/>
    <n v="0"/>
    <n v="1081.52"/>
    <n v="0"/>
    <n v="110.24"/>
    <n v="7679.23"/>
    <n v="742.6"/>
    <n v="0"/>
    <n v="39120.49"/>
    <n v="0"/>
    <n v="0"/>
    <n v="3519.08"/>
    <n v="12725"/>
    <n v="25"/>
    <n v="2235774.55"/>
    <n v="168"/>
    <n v="0"/>
    <n v="1403676.97"/>
    <n v="34847"/>
    <n v="276779.27"/>
    <n v="128543.83"/>
    <n v="54248.57"/>
    <n v="173218.87"/>
    <n v="98875.69"/>
    <x v="61"/>
    <n v="951"/>
    <n v="4803"/>
    <n v="1531"/>
    <n v="346"/>
    <n v="173142.55999999997"/>
    <n v="0.21352767739757483"/>
    <n v="43382.17"/>
    <n v="90534.69"/>
    <n v="0.11165170527459828"/>
    <n v="66093.9"/>
    <n v="0.0815101553144852"/>
    <n v="7016.8"/>
    <n v="0"/>
    <n v="9497.17"/>
    <n v="49506.68999999997"/>
    <n v="63.722362278978395"/>
    <n v="2.738467583497053"/>
    <n v="0.7106408909988279"/>
    <n v="0.061054015438732914"/>
    <n v="6124.519999999975"/>
    <n v="0.007553050681328668"/>
  </r>
  <r>
    <x v="4"/>
    <x v="10"/>
    <x v="10"/>
    <s v="ULTRA POPULAR"/>
    <s v="RJ"/>
    <s v="APROVADO"/>
    <n v="720273.87"/>
    <n v="409624.26"/>
    <n v="0.36253202755543995"/>
    <n v="8782.38"/>
    <n v="14474.8"/>
    <n v="508513.22"/>
    <n v="211760.65000000002"/>
    <n v="0.2940001835690638"/>
    <n v="15895.32"/>
    <n v="1190.06"/>
    <n v="0"/>
    <n v="46293.28"/>
    <n v="21354.93"/>
    <n v="5143.18"/>
    <n v="9416.95"/>
    <n v="4825.79"/>
    <n v="3730.16"/>
    <n v="0"/>
    <n v="0"/>
    <n v="1624"/>
    <n v="385.09"/>
    <n v="132"/>
    <n v="2003.71"/>
    <n v="2566.45"/>
    <n v="9.37"/>
    <n v="130.21"/>
    <n v="423.16"/>
    <n v="7821.82"/>
    <n v="41366.67"/>
    <n v="2849.11"/>
    <n v="0"/>
    <n v="317.15"/>
    <n v="0"/>
    <n v="171.18"/>
    <n v="3494.83"/>
    <n v="2481.71"/>
    <n v="2046.98"/>
    <n v="18697.81"/>
    <n v="133.48"/>
    <n v="1111.94"/>
    <n v="0"/>
    <n v="119.44"/>
    <n v="4982.95"/>
    <n v="1060.53"/>
    <n v="0"/>
    <n v="38080.92"/>
    <n v="100"/>
    <n v="0"/>
    <n v="3663.45"/>
    <n v="11486"/>
    <n v="23"/>
    <n v="2331905.88"/>
    <n v="168"/>
    <n v="0"/>
    <n v="1374149.44"/>
    <n v="32283"/>
    <n v="249459.71"/>
    <n v="115482.45"/>
    <n v="48243.75"/>
    <n v="160837.71"/>
    <n v="94129.34"/>
    <x v="62"/>
    <n v="919"/>
    <n v="4583"/>
    <n v="1504"/>
    <n v="348"/>
    <n v="177285.53999999992"/>
    <n v="0.24613629257437858"/>
    <n v="42904.899999999994"/>
    <n v="90764.28999999998"/>
    <n v="0.12601358147283612"/>
    <n v="71425.44"/>
    <n v="0.09916428038684785"/>
    <n v="6720.62"/>
    <n v="0"/>
    <n v="8375.19"/>
    <n v="-2010.4800000000105"/>
    <n v="62.70885164548145"/>
    <n v="2.81063903882988"/>
    <n v="0.7059998164309361"/>
    <n v="-0.0027912716033972056"/>
    <n v="-44915.380000000005"/>
    <n v="-0.06235875251173558"/>
  </r>
  <r>
    <x v="5"/>
    <x v="10"/>
    <x v="10"/>
    <s v="ULTRA POPULAR"/>
    <s v="RJ"/>
    <s v="APROVADO"/>
    <n v="755203.47"/>
    <n v="439322.25"/>
    <n v="0.367779648980685"/>
    <n v="9276.39"/>
    <n v="7347.09"/>
    <n v="537470.4"/>
    <n v="217733.06999999995"/>
    <n v="0.2883104734675014"/>
    <n v="7653.88"/>
    <n v="643.52"/>
    <n v="0"/>
    <n v="44027.03"/>
    <n v="21139.74"/>
    <n v="4891.4"/>
    <n v="10033.77"/>
    <n v="5106.61"/>
    <n v="3972.14"/>
    <n v="0"/>
    <n v="0"/>
    <n v="1714.22"/>
    <n v="385.1"/>
    <n v="46.69"/>
    <n v="1916.01"/>
    <n v="3632.89"/>
    <n v="9.37"/>
    <n v="130.21"/>
    <n v="1518.97"/>
    <n v="7701.82"/>
    <n v="42911.67"/>
    <n v="2863.56"/>
    <n v="0"/>
    <n v="603.75"/>
    <n v="1575.51"/>
    <n v="649.11"/>
    <n v="2216.59"/>
    <n v="61.65"/>
    <n v="5656.09"/>
    <n v="98397.73"/>
    <n v="96.99"/>
    <n v="1145.74"/>
    <n v="0"/>
    <n v="113.57"/>
    <n v="0"/>
    <n v="3307.61"/>
    <n v="0"/>
    <n v="470.86"/>
    <n v="0"/>
    <n v="0"/>
    <n v="3566.88"/>
    <n v="11827"/>
    <n v="23"/>
    <n v="2155545.03"/>
    <n v="168"/>
    <n v="0"/>
    <n v="1381955.81"/>
    <n v="32312"/>
    <n v="270501"/>
    <n v="127075.72"/>
    <n v="45488.76"/>
    <n v="159615.93"/>
    <n v="97078.16"/>
    <x v="63"/>
    <n v="967"/>
    <n v="4786"/>
    <n v="1663"/>
    <n v="351"/>
    <n v="261161.63"/>
    <n v="0.34581624737502864"/>
    <n v="7345.35"/>
    <n v="89170.69"/>
    <n v="0.1180750533362883"/>
    <n v="154935.66"/>
    <n v="0.2051575054336019"/>
    <n v="7704.28"/>
    <n v="0"/>
    <n v="9351"/>
    <n v="-69478.60000000003"/>
    <n v="63.85418702967785"/>
    <n v="2.7320537752599985"/>
    <n v="0.7116895265324986"/>
    <n v="-0.09199984210877638"/>
    <n v="-76823.95000000004"/>
    <n v="-0.10172616129531296"/>
  </r>
</pivotCacheRecords>
</file>

<file path=xl/pivotTables/_rels/pivotTable1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12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13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14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_rels/pivotTable15.xml.rels><?xml version="1.0" encoding="UTF-8" standalone="yes"?><Relationships xmlns="http://schemas.openxmlformats.org/package/2006/relationships"><Relationship 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r="http://schemas.openxmlformats.org/officeDocument/2006/relationships" name="Tabela dinâmica5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6:G13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h="1" x="10"/>
        <item x="1"/>
        <item h="1" x="2"/>
        <item h="1" x="4"/>
        <item h="1" x="5"/>
        <item h="1" x="6"/>
        <item h="1" x="7"/>
        <item h="1" x="8"/>
        <item h="1" x="3"/>
        <item h="1" x="9"/>
        <item h="1"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dataField="1"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dataField="1"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dataField="1" numFmtId="164" showAll="0"/>
    <pivotField numFmtId="164" showAll="0"/>
    <pivotField numFmtId="2" showAll="0"/>
    <pivotField dataField="1" numFmtId="9" showAll="0"/>
    <pivotField dataField="1"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2" hier="-1"/>
  </pageFields>
  <dataFields count="6">
    <dataField name="Soma de Total de Vendas Realizadas" fld="6" baseField="0" baseItem="0" numFmtId="164"/>
    <dataField name="Média de CMV %" fld="85" subtotal="average" baseField="0" baseItem="0" numFmtId="9"/>
    <dataField name="Média de % Desconto" fld="8" subtotal="average" baseField="0" baseItem="0" numFmtId="9"/>
    <dataField name="Média de Despesa Fixa %" fld="73" subtotal="average" baseField="0" baseItem="0" numFmtId="9"/>
    <dataField name="Média de Lucratividade %" fld="86" subtotal="average" baseField="0" baseItem="0" numFmtId="9"/>
    <dataField name="Soma de Resultado Líquido" fld="82" baseField="0" baseItem="0" numFmtId="164"/>
  </dataFields>
  <formats count="8">
    <format dxfId="0">
      <pivotArea type="all" dataOnly="0" outline="0" fieldPosition="0"/>
    </format>
    <format dxfId="1">
      <pivotArea outline="0" collapsedLevelsAreSubtotals="1" fieldPosition="0"/>
    </format>
    <format dxfId="2">
      <pivotArea field="0" type="button" dataOnly="0" labelOnly="1" outline="0" axis="axisRow" fieldPosition="0"/>
    </format>
    <format dxfId="3">
      <pivotArea dataOnly="0" labelOnly="1" fieldPosition="0">
        <references count="1">
          <reference field="0"/>
        </references>
      </pivotArea>
    </format>
    <format dxfId="4">
      <pivotArea dataOnly="0" labelOnly="1" grandRow="1" outline="0" fieldPosition="0"/>
    </format>
    <format dxfId="5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  <format dxfId="6">
      <pivotArea outline="0" collapsedLevelsAreSubtotals="1" fieldPosition="0">
        <references count="1">
          <reference field="4294967294" count="4" selected="0">
            <x v="1"/>
            <x v="2"/>
            <x v="3"/>
            <x v="4"/>
          </reference>
        </references>
      </pivotArea>
    </format>
    <format dxfId="7">
      <pivotArea dataOnly="0" labelOnly="1" outline="0" fieldPosition="0">
        <references count="1">
          <reference field="4294967294" count="4">
            <x v="1"/>
            <x v="2"/>
            <x v="3"/>
            <x v="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xmlns:r="http://schemas.openxmlformats.org/officeDocument/2006/relationships" name="Tabela dinâ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B10" firstHeaderRow="1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dataField="1"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2" hier="-1"/>
  </pageFields>
  <dataFields count="1">
    <dataField name="Média de Ticket Médio" fld="83" subtotal="average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xmlns:r="http://schemas.openxmlformats.org/officeDocument/2006/relationships" name="Tabela dinâmica3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E7:F14" firstHeaderRow="1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2" hier="-1"/>
  </pageFields>
  <dataFields count="1">
    <dataField name="Média de Nº de Clientes" fld="55" subtotal="average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xmlns:r="http://schemas.openxmlformats.org/officeDocument/2006/relationships" name="Tabela dinâmica9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26:B33" firstHeaderRow="1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dataField="1"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2" hier="-1"/>
  </pageFields>
  <dataFields count="1">
    <dataField name="Soma de Unidades Vendidas" fld="61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xmlns:r="http://schemas.openxmlformats.org/officeDocument/2006/relationships" name="Tabela dinâmica10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E26:F33" firstHeaderRow="1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2" hier="-1"/>
  </pageFields>
  <dataFields count="1">
    <dataField name="Média de Unidade Vendida Cliente" fld="84" subtotal="average" baseField="0" baseItem="0" numFmtId="2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6.xml><?xml version="1.0" encoding="utf-8"?>
<pivotTableDefinition xmlns="http://schemas.openxmlformats.org/spreadsheetml/2006/main" xmlns:r="http://schemas.openxmlformats.org/officeDocument/2006/relationships" name="Tabela dinâmica2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7:B14" firstHeaderRow="1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2" hier="-1"/>
  </pageFields>
  <dataFields count="1">
    <dataField name="Soma de Nº de Clientes" fld="55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7.xml><?xml version="1.0" encoding="utf-8"?>
<pivotTableDefinition xmlns="http://schemas.openxmlformats.org/spreadsheetml/2006/main" xmlns:r="http://schemas.openxmlformats.org/officeDocument/2006/relationships" name="Tabela dinâmica6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8:C15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dataField="1"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Nº de Colaboradores" fld="5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8.xml><?xml version="1.0" encoding="utf-8"?>
<pivotTableDefinition xmlns="http://schemas.openxmlformats.org/spreadsheetml/2006/main" xmlns:r="http://schemas.openxmlformats.org/officeDocument/2006/relationships" name="Tabela dinâmica7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8:F15" firstHeaderRow="0" firstDataRow="1" firstDataCol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multipleItemSelectionAllowed="1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dataField="1" showAll="0">
      <items count="65">
        <item x="5"/>
        <item x="53"/>
        <item x="52"/>
        <item x="56"/>
        <item x="57"/>
        <item x="4"/>
        <item x="54"/>
        <item x="0"/>
        <item x="55"/>
        <item x="1"/>
        <item x="3"/>
        <item x="2"/>
        <item x="47"/>
        <item x="35"/>
        <item x="37"/>
        <item x="40"/>
        <item x="39"/>
        <item x="36"/>
        <item x="34"/>
        <item x="27"/>
        <item x="38"/>
        <item x="30"/>
        <item x="24"/>
        <item x="28"/>
        <item x="29"/>
        <item x="32"/>
        <item x="31"/>
        <item x="25"/>
        <item x="33"/>
        <item x="26"/>
        <item x="51"/>
        <item x="50"/>
        <item x="12"/>
        <item x="48"/>
        <item x="49"/>
        <item x="16"/>
        <item x="13"/>
        <item x="14"/>
        <item x="17"/>
        <item x="15"/>
        <item x="46"/>
        <item x="45"/>
        <item x="42"/>
        <item x="41"/>
        <item x="43"/>
        <item x="44"/>
        <item x="7"/>
        <item x="6"/>
        <item x="11"/>
        <item x="10"/>
        <item x="9"/>
        <item x="8"/>
        <item x="58"/>
        <item x="63"/>
        <item x="60"/>
        <item x="59"/>
        <item x="62"/>
        <item x="61"/>
        <item x="22"/>
        <item x="23"/>
        <item x="21"/>
        <item x="20"/>
        <item x="19"/>
        <item x="18"/>
        <item t="default"/>
      </items>
    </pivotField>
    <pivotField dataField="1" showAll="0"/>
    <pivotField dataField="1" showAll="0"/>
    <pivotField dataField="1" showAll="0"/>
    <pivotField dataField="1"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Média de Quantidade de SKU Propagados" fld="67" subtotal="average" baseField="0" baseItem="0"/>
    <dataField name="Média de Quantidade de SKU Genéricos" fld="68" subtotal="average" baseField="0" baseItem="0"/>
    <dataField name="Média de Quantidade de SKU Perfumaria" fld="69" subtotal="average" baseField="0" baseItem="0"/>
    <dataField name="Média de Quantidade de SKU Outros Produtos" fld="70" subtotal="average" baseField="0" baseItem="0"/>
    <dataField name="Média de Quantidade de SKU Similares" fld="71" subtotal="average" baseField="0" baseItem="0"/>
  </dataFields>
  <formats count="2">
    <format dxfId="8">
      <pivotArea outline="0" collapsedLevelsAreSubtotals="1" fieldPosition="0"/>
    </format>
    <format dxfId="9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9.xml><?xml version="1.0" encoding="utf-8"?>
<pivotTableDefinition xmlns="http://schemas.openxmlformats.org/spreadsheetml/2006/main" xmlns:r="http://schemas.openxmlformats.org/officeDocument/2006/relationships" name="Tabela dinâmica8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26:F33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multipleItemSelectionAllowed="1" showAll="0">
      <items count="12">
        <item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t="default"/>
      </items>
    </pivotField>
    <pivotField axis="axisPage" multipleItemSelectionAllowed="1" showAll="0">
      <items count="12">
        <item x="10"/>
        <item h="1" x="1"/>
        <item h="1" x="2"/>
        <item h="1" x="4"/>
        <item h="1" x="5"/>
        <item h="1" x="6"/>
        <item h="1" x="7"/>
        <item h="1" x="8"/>
        <item h="1" x="3"/>
        <item h="1" x="9"/>
        <item h="1" x="0"/>
        <item t="default"/>
      </items>
    </pivotField>
    <pivotField showAll="0"/>
    <pivotField showAll="0"/>
    <pivotField showAll="0"/>
    <pivotField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dataField="1" showAll="0">
      <items count="65">
        <item x="5"/>
        <item x="53"/>
        <item x="52"/>
        <item x="56"/>
        <item x="57"/>
        <item x="4"/>
        <item x="54"/>
        <item x="0"/>
        <item x="55"/>
        <item x="1"/>
        <item x="3"/>
        <item x="2"/>
        <item x="47"/>
        <item x="35"/>
        <item x="37"/>
        <item x="40"/>
        <item x="39"/>
        <item x="36"/>
        <item x="34"/>
        <item x="27"/>
        <item x="38"/>
        <item x="30"/>
        <item x="24"/>
        <item x="28"/>
        <item x="29"/>
        <item x="32"/>
        <item x="31"/>
        <item x="25"/>
        <item x="33"/>
        <item x="26"/>
        <item x="51"/>
        <item x="50"/>
        <item x="12"/>
        <item x="48"/>
        <item x="49"/>
        <item x="16"/>
        <item x="13"/>
        <item x="14"/>
        <item x="17"/>
        <item x="15"/>
        <item x="46"/>
        <item x="45"/>
        <item x="42"/>
        <item x="41"/>
        <item x="43"/>
        <item x="44"/>
        <item x="7"/>
        <item x="6"/>
        <item x="11"/>
        <item x="10"/>
        <item x="9"/>
        <item x="8"/>
        <item x="58"/>
        <item x="63"/>
        <item x="60"/>
        <item x="59"/>
        <item x="62"/>
        <item x="61"/>
        <item x="22"/>
        <item x="23"/>
        <item x="21"/>
        <item x="20"/>
        <item x="19"/>
        <item x="18"/>
        <item t="default"/>
      </items>
    </pivotField>
    <pivotField dataField="1" showAll="0"/>
    <pivotField dataField="1" showAll="0"/>
    <pivotField dataField="1" showAll="0"/>
    <pivotField dataField="1"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2" hier="-1"/>
  </pageFields>
  <dataFields count="5">
    <dataField name="Soma de Quantidade de SKU Propagados" fld="67" baseField="0" baseItem="0"/>
    <dataField name="Soma de Quantidade de SKU Genéricos" fld="68" baseField="0" baseItem="0"/>
    <dataField name="Soma de Quantidade de SKU Perfumaria" fld="69" baseField="0" baseItem="0"/>
    <dataField name="Soma de Quantidade de SKU Outros Produtos" fld="70" baseField="0" baseItem="0"/>
    <dataField name="Soma de Quantidade de SKU Similares" fld="71" baseField="0" baseItem="0"/>
  </dataFields>
  <formats count="2">
    <format dxfId="10">
      <pivotArea outline="0" collapsedLevelsAreSubtotals="1" fieldPosition="0"/>
    </format>
    <format dxfId="11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0.xml><?xml version="1.0" encoding="utf-8"?>
<pivotTableDefinition xmlns="http://schemas.openxmlformats.org/spreadsheetml/2006/main" xmlns:r="http://schemas.openxmlformats.org/officeDocument/2006/relationships" name="Tabela dinâmica1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6:C13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dataField="1"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Venda Delivery" fld="59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1.xml><?xml version="1.0" encoding="utf-8"?>
<pivotTableDefinition xmlns="http://schemas.openxmlformats.org/spreadsheetml/2006/main" xmlns:r="http://schemas.openxmlformats.org/officeDocument/2006/relationships" name="Tabela dinâmica16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67:C74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numFmtId="164" showAll="0"/>
    <pivotField dataField="1"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Faturamento em R$ - Outros Produtos" fld="66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2.xml><?xml version="1.0" encoding="utf-8"?>
<pivotTableDefinition xmlns="http://schemas.openxmlformats.org/spreadsheetml/2006/main" xmlns:r="http://schemas.openxmlformats.org/officeDocument/2006/relationships" name="Tabela dinâmica12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4:C11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dataField="1" numFmtId="164" showAll="0"/>
    <pivotField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Faturamento em R$ - Medicamentos Propagados" fld="62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3.xml><?xml version="1.0" encoding="utf-8"?>
<pivotTableDefinition xmlns="http://schemas.openxmlformats.org/spreadsheetml/2006/main" xmlns:r="http://schemas.openxmlformats.org/officeDocument/2006/relationships" name="Tabela dinâmica13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17:C24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dataField="1" numFmtId="164" showAll="0"/>
    <pivotField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Faturamento em R$ - Medicamentos Genéricos" fld="63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4.xml><?xml version="1.0" encoding="utf-8"?>
<pivotTableDefinition xmlns="http://schemas.openxmlformats.org/spreadsheetml/2006/main" xmlns:r="http://schemas.openxmlformats.org/officeDocument/2006/relationships" name="Tabela dinâmica14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0:C37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dataField="1" numFmtId="164" showAll="0"/>
    <pivotField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Faturamento em R$ - Medicamentos Similares" fld="64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5.xml><?xml version="1.0" encoding="utf-8"?>
<pivotTableDefinition xmlns="http://schemas.openxmlformats.org/spreadsheetml/2006/main" xmlns:r="http://schemas.openxmlformats.org/officeDocument/2006/relationships" name="Tabela dinâmica15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54:C61" firstHeaderRow="0" firstDataRow="1" firstDataCol="1" rowPageCount="1" colPageCount="1"/>
  <pivotFields count="89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numFmtId="1" showAll="0"/>
    <pivotField axis="axisPage" multipleItemSelectionAllowed="1" showAll="0">
      <items count="12">
        <item x="10"/>
        <item x="1"/>
        <item x="2"/>
        <item x="4"/>
        <item x="5"/>
        <item x="6"/>
        <item x="7"/>
        <item x="8"/>
        <item x="3"/>
        <item x="9"/>
        <item x="0"/>
        <item t="default"/>
      </items>
    </pivotField>
    <pivotField showAll="0"/>
    <pivotField showAll="0"/>
    <pivotField showAll="0"/>
    <pivotField dataField="1" numFmtId="164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9" showAll="0"/>
    <pivotField numFmtId="164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numFmtId="164" showAll="0"/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3" showAll="0"/>
    <pivotField showAll="0"/>
    <pivotField numFmtId="164" showAll="0"/>
    <pivotField showAll="0"/>
    <pivotField numFmtId="164" showAll="0"/>
    <pivotField numFmtId="164" showAll="0"/>
    <pivotField numFmtId="3" showAll="0"/>
    <pivotField numFmtId="164" showAll="0"/>
    <pivotField numFmtId="164" showAll="0"/>
    <pivotField numFmtId="164" showAll="0"/>
    <pivotField dataField="1" numFmtId="164" showAll="0"/>
    <pivotField numFmtId="164" showAll="0"/>
    <pivotField showAll="0"/>
    <pivotField showAll="0"/>
    <pivotField showAll="0"/>
    <pivotField showAll="0"/>
    <pivotField showAll="0"/>
    <pivotField numFmtId="164" showAll="0"/>
    <pivotField numFmtId="9" showAll="0"/>
    <pivotField numFmtId="164" showAll="0"/>
    <pivotField numFmtId="164" showAll="0"/>
    <pivotField numFmtId="9" showAll="0"/>
    <pivotField numFmtId="164" showAll="0"/>
    <pivotField numFmtId="9" showAll="0"/>
    <pivotField numFmtId="164" showAll="0"/>
    <pivotField numFmtId="164" showAll="0"/>
    <pivotField numFmtId="164" showAll="0"/>
    <pivotField numFmtId="164" showAll="0"/>
    <pivotField numFmtId="164" showAll="0"/>
    <pivotField numFmtId="2" showAll="0"/>
    <pivotField numFmtId="9" showAll="0"/>
    <pivotField numFmtId="9" showAll="0"/>
    <pivotField numFmtId="164" showAll="0"/>
    <pivotField numFmtId="10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-1"/>
  </pageFields>
  <dataFields count="2">
    <dataField name="Soma de Total de Vendas Realizadas" fld="6" baseField="0" baseItem="0" numFmtId="164"/>
    <dataField name="Soma de Faturamento em R$ - Perfumaria" fld="65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1.xml"/></Relationships>
</file>

<file path=xl/worksheets/_rels/sheet4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2.xml"/></Relationships>
</file>

<file path=xl/worksheets/_rels/sheet5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3.xml"/><Relationship  Id="rId2" Type="http://schemas.openxmlformats.org/officeDocument/2006/relationships/pivotTable" Target="../pivotTables/pivotTable4.xml"/><Relationship  Id="rId3" Type="http://schemas.openxmlformats.org/officeDocument/2006/relationships/pivotTable" Target="../pivotTables/pivotTable5.xml"/><Relationship  Id="rId4" Type="http://schemas.openxmlformats.org/officeDocument/2006/relationships/pivotTable" Target="../pivotTables/pivotTable6.xml"/></Relationships>
</file>

<file path=xl/worksheets/_rels/sheet6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7.xml"/></Relationships>
</file>

<file path=xl/worksheets/_rels/sheet7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8.xml"/><Relationship  Id="rId2" Type="http://schemas.openxmlformats.org/officeDocument/2006/relationships/pivotTable" Target="../pivotTables/pivotTable9.xml"/></Relationships>
</file>

<file path=xl/worksheets/_rels/sheet8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10.xml"/></Relationships>
</file>

<file path=xl/worksheets/_rels/sheet9.xml.rels><?xml version="1.0" encoding="UTF-8" standalone="yes"?><Relationships xmlns="http://schemas.openxmlformats.org/package/2006/relationships"><Relationship  Id="rId1" Type="http://schemas.openxmlformats.org/officeDocument/2006/relationships/pivotTable" Target="../pivotTables/pivotTable11.xml"/><Relationship  Id="rId2" Type="http://schemas.openxmlformats.org/officeDocument/2006/relationships/pivotTable" Target="../pivotTables/pivotTable12.xml"/><Relationship  Id="rId3" Type="http://schemas.openxmlformats.org/officeDocument/2006/relationships/pivotTable" Target="../pivotTables/pivotTable13.xml"/><Relationship  Id="rId4" Type="http://schemas.openxmlformats.org/officeDocument/2006/relationships/pivotTable" Target="../pivotTables/pivotTable14.xml"/><Relationship  Id="rId5" Type="http://schemas.openxmlformats.org/officeDocument/2006/relationships/pivotTable" Target="../pivotTables/pivotTable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2" activeCellId="0" sqref="I2"/>
    </sheetView>
  </sheetViews>
  <sheetFormatPr defaultRowHeight="14.5"/>
  <cols>
    <col bestFit="1" customWidth="1" min="2" max="2" width="17.54296875"/>
    <col bestFit="1" customWidth="1" min="3" max="3" width="48.81640625"/>
    <col bestFit="1" customWidth="1" min="7" max="7" style="1" width="25.90625"/>
    <col bestFit="1" customWidth="1" min="8" max="8" style="1" width="27.26953125"/>
    <col customWidth="1" min="9" max="9" style="1" width="27.26953125"/>
    <col bestFit="1" customWidth="1" min="10" max="10" style="1" width="21"/>
    <col customWidth="1" min="11" max="11" style="1" width="12.6328125"/>
    <col bestFit="1" customWidth="1" min="12" max="12" style="1" width="39.54296875"/>
    <col customWidth="1" min="13" max="13" style="1" width="39.54296875"/>
    <col customWidth="1" min="14" max="14" style="2" width="39.54296875"/>
    <col bestFit="1" customWidth="1" min="15" max="15" style="1" width="12.6328125"/>
    <col bestFit="1" customWidth="1" min="16" max="16" style="1" width="11.6328125"/>
    <col bestFit="1" customWidth="1" min="43" max="43" style="1" width="22.1796875"/>
    <col bestFit="1" customWidth="1" min="44" max="44" style="1" width="32"/>
    <col bestFit="1" customWidth="1" min="45" max="45" style="1" width="54.08984375"/>
    <col bestFit="1" customWidth="1" min="46" max="46" style="1" width="15.90625"/>
    <col bestFit="1" customWidth="1" min="47" max="47" width="24.36328125"/>
    <col bestFit="1" customWidth="1" min="48" max="48" style="1" width="43.36328125"/>
    <col bestFit="1" customWidth="1" min="49" max="49" style="1" width="27.6328125"/>
    <col bestFit="1" customWidth="1" min="50" max="50" style="1" width="17"/>
    <col bestFit="1" customWidth="1" min="51" max="51" style="1" width="18.81640625"/>
    <col bestFit="1" customWidth="1" min="52" max="52" style="1" width="45.81640625"/>
    <col bestFit="1" customWidth="1" min="53" max="53" style="1" width="14.1796875"/>
    <col bestFit="1" customWidth="1" min="54" max="54" style="1" width="39.54296875"/>
    <col bestFit="1" customWidth="1" min="55" max="55" style="1" width="30.81640625"/>
    <col bestFit="1" customWidth="1" min="56" max="56" style="3" width="12.81640625"/>
    <col bestFit="1" customWidth="1" min="57" max="57" width="18.81640625"/>
    <col bestFit="1" customWidth="1" min="58" max="58" style="1" width="22.90625"/>
    <col bestFit="1" customWidth="1" min="59" max="59" width="17"/>
    <col bestFit="1" customWidth="1" min="60" max="60" style="1" width="13.7265625"/>
    <col bestFit="1" customWidth="1" min="61" max="61" style="1" width="35.1796875"/>
    <col bestFit="1" customWidth="1" min="62" max="62" style="3" width="17.54296875"/>
    <col bestFit="1" customWidth="1" min="63" max="63" style="1" width="42.81640625"/>
    <col bestFit="1" customWidth="1" min="64" max="64" style="1" width="41"/>
    <col bestFit="1" customWidth="1" min="65" max="65" style="1" width="40.453125"/>
    <col bestFit="1" customWidth="1" min="66" max="66" style="1" width="28.7265625"/>
    <col bestFit="1" customWidth="1" min="67" max="67" style="1" width="33.26953125"/>
    <col bestFit="1" customWidth="1" min="68" max="68" width="28.36328125"/>
    <col bestFit="1" customWidth="1" min="69" max="69" width="26.453125"/>
    <col bestFit="1" customWidth="1" min="70" max="70" width="27.36328125"/>
    <col bestFit="1" customWidth="1" min="71" max="71" width="31.90625"/>
    <col bestFit="1" customWidth="1" min="72" max="72" width="25.90625"/>
    <col bestFit="1" customWidth="1" min="73" max="73" style="1" width="13.7265625"/>
    <col bestFit="1" customWidth="1" min="74" max="74" style="4" width="14"/>
    <col bestFit="1" customWidth="1" min="75" max="75" style="1" width="16.08984375"/>
    <col bestFit="1" customWidth="1" min="76" max="76" style="1" width="22.6328125"/>
    <col bestFit="1" customWidth="1" min="77" max="77" style="5" width="24.6328125"/>
    <col bestFit="1" customWidth="1" min="78" max="78" style="1" width="25.7265625"/>
    <col bestFit="1" customWidth="1" min="79" max="79" style="5" width="27.6328125"/>
    <col bestFit="1" customWidth="1" min="80" max="80" style="1" width="20.7265625"/>
    <col bestFit="1" customWidth="1" min="81" max="81" style="1" width="22.453125"/>
    <col bestFit="1" customWidth="1" min="82" max="82" style="1" width="24.81640625"/>
    <col bestFit="1" customWidth="1" min="83" max="83" style="1" width="17.7265625"/>
    <col bestFit="1" customWidth="1" min="84" max="84" style="1" width="12.90625"/>
    <col bestFit="1" customWidth="1" min="85" max="85" style="6" width="21.90625"/>
    <col bestFit="1" customWidth="1" min="86" max="86" style="5" width="6.54296875"/>
    <col customWidth="1" min="87" max="87" style="5" width="14.26953125"/>
    <col customWidth="1" min="88" max="88" width="15.90625"/>
    <col bestFit="1" customWidth="1" min="89" max="89" width="18"/>
  </cols>
  <sheetData>
    <row r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9" t="s">
        <v>8</v>
      </c>
      <c r="J1" s="8" t="s">
        <v>9</v>
      </c>
      <c r="K1" s="8" t="s">
        <v>10</v>
      </c>
      <c r="L1" s="8" t="s">
        <v>11</v>
      </c>
      <c r="M1" s="9" t="s">
        <v>12</v>
      </c>
      <c r="N1" s="9" t="s">
        <v>13</v>
      </c>
      <c r="O1" s="8" t="s">
        <v>14</v>
      </c>
      <c r="P1" s="8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  <c r="AQ1" s="8" t="s">
        <v>42</v>
      </c>
      <c r="AR1" s="8" t="s">
        <v>43</v>
      </c>
      <c r="AS1" s="8" t="s">
        <v>44</v>
      </c>
      <c r="AT1" s="8" t="s">
        <v>45</v>
      </c>
      <c r="AU1" s="7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10" t="s">
        <v>55</v>
      </c>
      <c r="BE1" s="7" t="s">
        <v>56</v>
      </c>
      <c r="BF1" s="8" t="s">
        <v>57</v>
      </c>
      <c r="BG1" s="7" t="s">
        <v>58</v>
      </c>
      <c r="BH1" s="8" t="s">
        <v>59</v>
      </c>
      <c r="BI1" s="8" t="s">
        <v>60</v>
      </c>
      <c r="BJ1" s="10" t="s">
        <v>61</v>
      </c>
      <c r="BK1" s="8" t="s">
        <v>62</v>
      </c>
      <c r="BL1" s="8" t="s">
        <v>63</v>
      </c>
      <c r="BM1" s="8" t="s">
        <v>64</v>
      </c>
      <c r="BN1" s="8" t="s">
        <v>65</v>
      </c>
      <c r="BO1" s="8" t="s">
        <v>66</v>
      </c>
      <c r="BP1" s="7" t="s">
        <v>67</v>
      </c>
      <c r="BQ1" s="7" t="s">
        <v>68</v>
      </c>
      <c r="BR1" s="7" t="s">
        <v>69</v>
      </c>
      <c r="BS1" s="7" t="s">
        <v>70</v>
      </c>
      <c r="BT1" s="7" t="s">
        <v>71</v>
      </c>
      <c r="BU1" s="8" t="s">
        <v>72</v>
      </c>
      <c r="BV1" s="11" t="s">
        <v>73</v>
      </c>
      <c r="BW1" s="12" t="s">
        <v>74</v>
      </c>
      <c r="BX1" s="8" t="s">
        <v>75</v>
      </c>
      <c r="BY1" s="13" t="s">
        <v>76</v>
      </c>
      <c r="BZ1" s="8" t="s">
        <v>77</v>
      </c>
      <c r="CA1" s="13" t="s">
        <v>78</v>
      </c>
      <c r="CB1" s="8" t="s">
        <v>79</v>
      </c>
      <c r="CC1" s="8" t="s">
        <v>80</v>
      </c>
      <c r="CD1" s="8" t="s">
        <v>81</v>
      </c>
      <c r="CE1" s="12" t="s">
        <v>82</v>
      </c>
      <c r="CF1" s="8" t="s">
        <v>83</v>
      </c>
      <c r="CG1" s="14" t="s">
        <v>84</v>
      </c>
      <c r="CH1" s="13" t="s">
        <v>85</v>
      </c>
      <c r="CI1" s="13" t="s">
        <v>86</v>
      </c>
      <c r="CJ1" s="15" t="s">
        <v>87</v>
      </c>
      <c r="CK1" t="s">
        <v>88</v>
      </c>
    </row>
    <row r="2">
      <c r="A2" t="s">
        <v>89</v>
      </c>
      <c r="B2" s="16">
        <v>10261570000199</v>
      </c>
      <c r="C2" t="s">
        <v>90</v>
      </c>
      <c r="D2" t="s">
        <v>91</v>
      </c>
      <c r="E2" t="s">
        <v>92</v>
      </c>
      <c r="F2" t="s">
        <v>93</v>
      </c>
      <c r="G2" s="1">
        <v>260430.64999999999</v>
      </c>
      <c r="H2" s="1">
        <v>151777.38</v>
      </c>
      <c r="I2" s="5">
        <f t="shared" ref="I2:I65" si="0">H2/(G2+H2)</f>
        <v>0.36820578192035702</v>
      </c>
      <c r="J2" s="1">
        <v>7954.6599999999999</v>
      </c>
      <c r="K2" s="1">
        <v>4412.6599999999999</v>
      </c>
      <c r="L2" s="1">
        <v>175396.29999999999</v>
      </c>
      <c r="M2" s="1">
        <f t="shared" ref="M2:M65" si="1">G2-L2</f>
        <v>85034.350000000006</v>
      </c>
      <c r="N2" s="5">
        <f t="shared" ref="N2:N65" si="2">M2/G2</f>
        <v>0.32651437148430879</v>
      </c>
      <c r="O2" s="1">
        <v>2337.0300000000002</v>
      </c>
      <c r="P2" s="1">
        <v>235.11000000000001</v>
      </c>
      <c r="Q2">
        <v>0</v>
      </c>
      <c r="R2">
        <v>32225.650000000001</v>
      </c>
      <c r="S2">
        <v>9926.1000000000004</v>
      </c>
      <c r="T2">
        <v>2711.0599999999999</v>
      </c>
      <c r="U2">
        <v>1870.9200000000001</v>
      </c>
      <c r="V2">
        <v>0</v>
      </c>
      <c r="W2">
        <v>2028.98</v>
      </c>
      <c r="X2">
        <v>1412</v>
      </c>
      <c r="Y2">
        <v>0</v>
      </c>
      <c r="Z2">
        <v>1676.1500000000001</v>
      </c>
      <c r="AA2">
        <v>217</v>
      </c>
      <c r="AB2">
        <v>0</v>
      </c>
      <c r="AC2">
        <v>1586.8099999999999</v>
      </c>
      <c r="AD2">
        <v>3285.1300000000001</v>
      </c>
      <c r="AE2">
        <v>9.4100000000000001</v>
      </c>
      <c r="AF2">
        <v>51.399999999999999</v>
      </c>
      <c r="AG2">
        <v>181.21000000000001</v>
      </c>
      <c r="AH2">
        <v>1320.3399999999999</v>
      </c>
      <c r="AI2">
        <v>4133</v>
      </c>
      <c r="AJ2">
        <v>2495.1599999999999</v>
      </c>
      <c r="AK2">
        <v>0</v>
      </c>
      <c r="AL2">
        <v>431.66000000000003</v>
      </c>
      <c r="AM2">
        <v>2144.2399999999998</v>
      </c>
      <c r="AN2">
        <v>203.09999999999999</v>
      </c>
      <c r="AO2">
        <v>564.36000000000001</v>
      </c>
      <c r="AP2">
        <v>46.229999999999997</v>
      </c>
      <c r="AQ2" s="1">
        <v>811.92999999999995</v>
      </c>
      <c r="AR2" s="1">
        <v>678.55999999999995</v>
      </c>
      <c r="AS2" s="1">
        <v>0</v>
      </c>
      <c r="AT2" s="1">
        <v>485.25999999999999</v>
      </c>
      <c r="AU2">
        <v>0</v>
      </c>
      <c r="AV2" s="1">
        <v>78.780000000000001</v>
      </c>
      <c r="AW2" s="1">
        <v>2364.8699999999999</v>
      </c>
      <c r="AX2" s="1">
        <v>533.49000000000001</v>
      </c>
      <c r="AY2" s="1">
        <v>0</v>
      </c>
      <c r="AZ2" s="1">
        <v>46.719999999999999</v>
      </c>
      <c r="BA2" s="1">
        <v>550</v>
      </c>
      <c r="BB2" s="1">
        <v>0</v>
      </c>
      <c r="BC2" s="1">
        <v>47.520000000000003</v>
      </c>
      <c r="BD2" s="3">
        <v>6114</v>
      </c>
      <c r="BE2">
        <v>12</v>
      </c>
      <c r="BF2" s="1">
        <v>945689.62</v>
      </c>
      <c r="BG2">
        <v>65</v>
      </c>
      <c r="BH2" s="1">
        <v>0</v>
      </c>
      <c r="BI2" s="1">
        <v>384619.78999999998</v>
      </c>
      <c r="BJ2" s="3">
        <v>14818</v>
      </c>
      <c r="BK2" s="1">
        <v>83454.690000000002</v>
      </c>
      <c r="BL2" s="1">
        <v>56375.120000000003</v>
      </c>
      <c r="BM2" s="1">
        <v>22520.32</v>
      </c>
      <c r="BN2" s="1">
        <v>48215.510000000002</v>
      </c>
      <c r="BO2" s="1">
        <v>26840.860000000001</v>
      </c>
      <c r="BP2">
        <v>1209</v>
      </c>
      <c r="BQ2">
        <v>764</v>
      </c>
      <c r="BR2">
        <v>2015</v>
      </c>
      <c r="BS2">
        <v>760</v>
      </c>
      <c r="BT2">
        <v>292</v>
      </c>
      <c r="BU2" s="1">
        <v>70010.399999999994</v>
      </c>
      <c r="BV2" s="4">
        <v>0.26882550114589043</v>
      </c>
      <c r="BW2" s="1">
        <v>1177.73</v>
      </c>
      <c r="BX2" s="1">
        <v>48762.709999999999</v>
      </c>
      <c r="BY2" s="5">
        <v>0.18723875242794963</v>
      </c>
      <c r="BZ2" s="1">
        <v>11508.24</v>
      </c>
      <c r="CA2" s="5">
        <v>0.044189268813021813</v>
      </c>
      <c r="CB2" s="1">
        <v>6774.5</v>
      </c>
      <c r="CC2" s="1">
        <v>1412</v>
      </c>
      <c r="CD2" s="1">
        <v>1552.9499999999998</v>
      </c>
      <c r="CE2" s="1">
        <v>2042.8799999999947</v>
      </c>
      <c r="CF2" s="1">
        <v>42.59578835459601</v>
      </c>
      <c r="CG2" s="17">
        <v>2.4236179260713118</v>
      </c>
      <c r="CH2" s="5">
        <v>0.67348562851569116</v>
      </c>
      <c r="CI2" s="5">
        <v>0.0078442379957965568</v>
      </c>
      <c r="CJ2" s="18">
        <f t="shared" ref="CJ2:CJ65" si="3">CE2-BW2</f>
        <v>865.14999999999463</v>
      </c>
      <c r="CK2" s="19">
        <f t="shared" ref="CK2:CK65" si="4">CJ2/G2</f>
        <v>0.0033219976220156678</v>
      </c>
    </row>
    <row r="3">
      <c r="A3" t="s">
        <v>94</v>
      </c>
      <c r="B3" s="16">
        <v>10261570000199</v>
      </c>
      <c r="C3" t="s">
        <v>90</v>
      </c>
      <c r="D3" t="s">
        <v>91</v>
      </c>
      <c r="E3" t="s">
        <v>92</v>
      </c>
      <c r="F3" t="s">
        <v>93</v>
      </c>
      <c r="G3" s="1">
        <v>274555.87</v>
      </c>
      <c r="H3" s="1">
        <v>181586.45000000001</v>
      </c>
      <c r="I3" s="5">
        <f t="shared" si="0"/>
        <v>0.39809165262280422</v>
      </c>
      <c r="J3" s="1">
        <v>7898.6000000000004</v>
      </c>
      <c r="K3" s="1">
        <v>3350.1700000000001</v>
      </c>
      <c r="L3" s="1">
        <v>185112.51000000001</v>
      </c>
      <c r="M3" s="1">
        <f t="shared" si="1"/>
        <v>89443.359999999986</v>
      </c>
      <c r="N3" s="5">
        <f t="shared" si="2"/>
        <v>0.32577471390431384</v>
      </c>
      <c r="O3" s="1">
        <v>2292.23</v>
      </c>
      <c r="P3" s="1">
        <v>0</v>
      </c>
      <c r="Q3">
        <v>0</v>
      </c>
      <c r="R3">
        <v>24920.130000000001</v>
      </c>
      <c r="S3">
        <v>6487.1199999999999</v>
      </c>
      <c r="T3">
        <v>2206.9099999999999</v>
      </c>
      <c r="U3">
        <v>2524.21</v>
      </c>
      <c r="V3">
        <v>263.56</v>
      </c>
      <c r="W3">
        <v>2399.1300000000001</v>
      </c>
      <c r="X3">
        <v>0</v>
      </c>
      <c r="Y3">
        <v>0</v>
      </c>
      <c r="Z3">
        <v>1714.22</v>
      </c>
      <c r="AA3">
        <v>385.10000000000002</v>
      </c>
      <c r="AB3">
        <v>59.310000000000002</v>
      </c>
      <c r="AC3">
        <v>1640.1400000000001</v>
      </c>
      <c r="AD3">
        <v>3058.6799999999998</v>
      </c>
      <c r="AE3">
        <v>9.3699999999999992</v>
      </c>
      <c r="AF3">
        <v>17.460000000000001</v>
      </c>
      <c r="AG3">
        <v>596.41999999999996</v>
      </c>
      <c r="AH3">
        <v>123.58</v>
      </c>
      <c r="AI3">
        <v>4133</v>
      </c>
      <c r="AJ3">
        <v>1945.23</v>
      </c>
      <c r="AK3">
        <v>0</v>
      </c>
      <c r="AL3">
        <v>483.23000000000002</v>
      </c>
      <c r="AM3">
        <v>3559.5500000000002</v>
      </c>
      <c r="AN3">
        <v>524.76999999999998</v>
      </c>
      <c r="AO3">
        <v>564.36000000000001</v>
      </c>
      <c r="AP3">
        <v>3825.2199999999998</v>
      </c>
      <c r="AQ3" s="1">
        <v>1621.52</v>
      </c>
      <c r="AR3" s="1">
        <v>675.35000000000002</v>
      </c>
      <c r="AS3" s="1">
        <v>0</v>
      </c>
      <c r="AT3" s="1">
        <v>506.00999999999999</v>
      </c>
      <c r="AU3">
        <v>0</v>
      </c>
      <c r="AV3" s="1">
        <v>78.489999999999995</v>
      </c>
      <c r="AW3" s="1">
        <v>2364.8699999999999</v>
      </c>
      <c r="AX3" s="1">
        <v>1273.03</v>
      </c>
      <c r="AY3" s="1">
        <v>449.43000000000001</v>
      </c>
      <c r="AZ3" s="1">
        <v>803.70000000000005</v>
      </c>
      <c r="BA3" s="1">
        <v>0</v>
      </c>
      <c r="BB3" s="1">
        <v>0</v>
      </c>
      <c r="BC3" s="1">
        <v>0</v>
      </c>
      <c r="BD3" s="3">
        <v>6277</v>
      </c>
      <c r="BE3">
        <v>10</v>
      </c>
      <c r="BF3" s="1">
        <v>885936.47999999998</v>
      </c>
      <c r="BG3">
        <v>65</v>
      </c>
      <c r="BH3" s="1">
        <v>0</v>
      </c>
      <c r="BI3" s="1">
        <v>413240.71000000002</v>
      </c>
      <c r="BJ3" s="3">
        <v>14638</v>
      </c>
      <c r="BK3" s="1">
        <v>93855.550000000003</v>
      </c>
      <c r="BL3" s="1">
        <v>59444.730000000003</v>
      </c>
      <c r="BM3" s="1">
        <v>26876.029999999999</v>
      </c>
      <c r="BN3" s="1">
        <v>41792.260000000002</v>
      </c>
      <c r="BO3" s="1">
        <v>29293.060000000001</v>
      </c>
      <c r="BP3">
        <v>1240</v>
      </c>
      <c r="BQ3">
        <v>752</v>
      </c>
      <c r="BR3">
        <v>2043</v>
      </c>
      <c r="BS3">
        <v>769</v>
      </c>
      <c r="BT3">
        <v>304</v>
      </c>
      <c r="BU3" s="1">
        <v>63737.57</v>
      </c>
      <c r="BV3" s="4">
        <v>0.23214790490547516</v>
      </c>
      <c r="BW3" s="1">
        <v>2526.1599999999999</v>
      </c>
      <c r="BX3" s="1">
        <v>38801.059999999998</v>
      </c>
      <c r="BY3" s="5">
        <v>0.14132300285548438</v>
      </c>
      <c r="BZ3" s="1">
        <v>17332.229999999996</v>
      </c>
      <c r="CA3" s="5">
        <v>0.063128244171213668</v>
      </c>
      <c r="CB3" s="1">
        <v>6866.8200000000006</v>
      </c>
      <c r="CC3" s="1">
        <v>0</v>
      </c>
      <c r="CD3" s="1">
        <v>737.46000000000004</v>
      </c>
      <c r="CE3" s="1">
        <v>14102.140000000034</v>
      </c>
      <c r="CF3" s="1">
        <v>43.739982475704956</v>
      </c>
      <c r="CG3" s="17">
        <v>2.332005735223833</v>
      </c>
      <c r="CH3" s="5">
        <v>0.6742252860956861</v>
      </c>
      <c r="CI3" s="5">
        <v>0.051363462015946097</v>
      </c>
      <c r="CJ3" s="18">
        <f t="shared" si="3"/>
        <v>11575.980000000034</v>
      </c>
      <c r="CK3" s="19">
        <f t="shared" si="4"/>
        <v>0.042162566038016359</v>
      </c>
    </row>
    <row r="4">
      <c r="A4" t="s">
        <v>95</v>
      </c>
      <c r="B4" s="16">
        <v>10261570000199</v>
      </c>
      <c r="C4" t="s">
        <v>90</v>
      </c>
      <c r="D4" t="s">
        <v>91</v>
      </c>
      <c r="E4" t="s">
        <v>92</v>
      </c>
      <c r="F4" t="s">
        <v>93</v>
      </c>
      <c r="G4" s="1">
        <v>260086.70000000001</v>
      </c>
      <c r="H4" s="1">
        <v>162700.44</v>
      </c>
      <c r="I4" s="5">
        <f t="shared" si="0"/>
        <v>0.38482826133264131</v>
      </c>
      <c r="J4" s="1">
        <v>27768.52</v>
      </c>
      <c r="K4" s="1">
        <v>3720.8099999999999</v>
      </c>
      <c r="L4" s="1">
        <v>175603.34</v>
      </c>
      <c r="M4" s="1">
        <f t="shared" si="1"/>
        <v>84483.360000000015</v>
      </c>
      <c r="N4" s="5">
        <f t="shared" si="2"/>
        <v>0.32482768246127164</v>
      </c>
      <c r="O4" s="1">
        <v>2644.3400000000001</v>
      </c>
      <c r="P4" s="1">
        <v>495.98000000000002</v>
      </c>
      <c r="Q4">
        <v>0</v>
      </c>
      <c r="R4">
        <v>27521.419999999998</v>
      </c>
      <c r="S4">
        <v>10738.549999999999</v>
      </c>
      <c r="T4">
        <v>3057.6300000000001</v>
      </c>
      <c r="U4">
        <v>2223.1300000000001</v>
      </c>
      <c r="V4">
        <v>3563.4099999999999</v>
      </c>
      <c r="W4">
        <v>1812.6099999999999</v>
      </c>
      <c r="X4">
        <v>0</v>
      </c>
      <c r="Y4">
        <v>0</v>
      </c>
      <c r="Z4">
        <v>1714.22</v>
      </c>
      <c r="AA4">
        <v>385.08999999999997</v>
      </c>
      <c r="AB4">
        <v>0</v>
      </c>
      <c r="AC4">
        <v>1730.01</v>
      </c>
      <c r="AD4">
        <v>2557.5500000000002</v>
      </c>
      <c r="AE4">
        <v>9.4100000000000001</v>
      </c>
      <c r="AF4">
        <v>0</v>
      </c>
      <c r="AG4">
        <v>462.60000000000002</v>
      </c>
      <c r="AH4">
        <v>6463.6400000000003</v>
      </c>
      <c r="AI4">
        <v>4383</v>
      </c>
      <c r="AJ4">
        <v>1244.72</v>
      </c>
      <c r="AK4">
        <v>0</v>
      </c>
      <c r="AL4">
        <v>477.76999999999998</v>
      </c>
      <c r="AM4">
        <v>996.52999999999997</v>
      </c>
      <c r="AN4">
        <v>318.30000000000001</v>
      </c>
      <c r="AO4">
        <v>664.36000000000001</v>
      </c>
      <c r="AP4">
        <v>2014.21</v>
      </c>
      <c r="AQ4" s="1">
        <v>2370.3800000000001</v>
      </c>
      <c r="AR4" s="1">
        <v>502.48000000000002</v>
      </c>
      <c r="AS4" s="1">
        <v>0</v>
      </c>
      <c r="AT4" s="1">
        <v>511.38</v>
      </c>
      <c r="AU4">
        <v>0</v>
      </c>
      <c r="AV4" s="1">
        <v>81.159999999999997</v>
      </c>
      <c r="AW4" s="1">
        <v>2192.6799999999998</v>
      </c>
      <c r="AX4" s="1">
        <v>440.56999999999999</v>
      </c>
      <c r="AY4" s="1">
        <v>17356.41</v>
      </c>
      <c r="AZ4" s="1">
        <v>6.4800000000000004</v>
      </c>
      <c r="BA4" s="1">
        <v>0</v>
      </c>
      <c r="BB4" s="1">
        <v>0</v>
      </c>
      <c r="BC4" s="1">
        <v>256.31</v>
      </c>
      <c r="BD4" s="3">
        <v>6027</v>
      </c>
      <c r="BE4">
        <v>12</v>
      </c>
      <c r="BF4" s="1">
        <v>893277.55000000005</v>
      </c>
      <c r="BG4">
        <v>65</v>
      </c>
      <c r="BH4" s="1">
        <v>0</v>
      </c>
      <c r="BI4" s="1">
        <v>398006.65000000002</v>
      </c>
      <c r="BJ4" s="3">
        <v>13967</v>
      </c>
      <c r="BK4" s="1">
        <v>89112.990000000005</v>
      </c>
      <c r="BL4" s="1">
        <v>57008.410000000003</v>
      </c>
      <c r="BM4" s="1">
        <v>23885.849999999999</v>
      </c>
      <c r="BN4" s="1">
        <v>41137</v>
      </c>
      <c r="BO4" s="1">
        <v>26169.439999999999</v>
      </c>
      <c r="BP4">
        <v>1277</v>
      </c>
      <c r="BQ4">
        <v>785</v>
      </c>
      <c r="BR4">
        <v>1767</v>
      </c>
      <c r="BS4">
        <v>618</v>
      </c>
      <c r="BT4">
        <v>306</v>
      </c>
      <c r="BU4" s="1">
        <v>75211.020000000019</v>
      </c>
      <c r="BV4" s="4">
        <v>0.28917672453070464</v>
      </c>
      <c r="BW4" s="1">
        <v>18059.77</v>
      </c>
      <c r="BX4" s="1">
        <v>48916.75</v>
      </c>
      <c r="BY4" s="5">
        <v>0.1880786291648131</v>
      </c>
      <c r="BZ4" s="1">
        <v>12971.75</v>
      </c>
      <c r="CA4" s="5">
        <v>0.049874714854700374</v>
      </c>
      <c r="CB4" s="1">
        <v>6396.2799999999997</v>
      </c>
      <c r="CC4" s="1">
        <v>0</v>
      </c>
      <c r="CD4" s="1">
        <v>6926.2400000000007</v>
      </c>
      <c r="CE4" s="1">
        <v>-23594.849999999973</v>
      </c>
      <c r="CF4" s="1">
        <v>43.153592168574747</v>
      </c>
      <c r="CG4" s="17">
        <v>2.3174050107848019</v>
      </c>
      <c r="CH4" s="5">
        <v>0.67517231753872842</v>
      </c>
      <c r="CI4" s="5">
        <v>-0.090719171722352471</v>
      </c>
      <c r="CJ4" s="18">
        <f t="shared" si="3"/>
        <v>-41654.619999999974</v>
      </c>
      <c r="CK4" s="19">
        <f t="shared" si="4"/>
        <v>-0.16015667083322588</v>
      </c>
    </row>
    <row r="5">
      <c r="A5" t="s">
        <v>96</v>
      </c>
      <c r="B5" s="16">
        <v>10261570000199</v>
      </c>
      <c r="C5" t="s">
        <v>90</v>
      </c>
      <c r="D5" t="s">
        <v>91</v>
      </c>
      <c r="E5" t="s">
        <v>92</v>
      </c>
      <c r="F5" t="s">
        <v>93</v>
      </c>
      <c r="G5" s="1">
        <v>257100.04999999999</v>
      </c>
      <c r="H5" s="1">
        <v>166455.88</v>
      </c>
      <c r="I5" s="5">
        <f t="shared" si="0"/>
        <v>0.39299622130187151</v>
      </c>
      <c r="J5" s="1">
        <v>6894.6999999999998</v>
      </c>
      <c r="K5" s="1">
        <v>2976.8800000000001</v>
      </c>
      <c r="L5" s="1">
        <v>175228.98999999999</v>
      </c>
      <c r="M5" s="1">
        <f t="shared" si="1"/>
        <v>81871.059999999998</v>
      </c>
      <c r="N5" s="5">
        <f t="shared" si="2"/>
        <v>0.31844046704775048</v>
      </c>
      <c r="O5" s="1">
        <v>2170.4899999999998</v>
      </c>
      <c r="P5" s="1">
        <v>246.83000000000001</v>
      </c>
      <c r="Q5">
        <v>0</v>
      </c>
      <c r="R5">
        <v>40707.040000000001</v>
      </c>
      <c r="S5">
        <v>6916.75</v>
      </c>
      <c r="T5">
        <v>4522.5500000000002</v>
      </c>
      <c r="U5">
        <v>3125.3699999999999</v>
      </c>
      <c r="V5">
        <v>3376.3200000000002</v>
      </c>
      <c r="W5">
        <v>2277.8200000000002</v>
      </c>
      <c r="X5">
        <v>0</v>
      </c>
      <c r="Y5">
        <v>0</v>
      </c>
      <c r="Z5">
        <v>1714.22</v>
      </c>
      <c r="AA5">
        <v>385.08999999999997</v>
      </c>
      <c r="AB5">
        <v>35.310000000000002</v>
      </c>
      <c r="AC5">
        <v>1586.8099999999999</v>
      </c>
      <c r="AD5">
        <v>2597.4299999999998</v>
      </c>
      <c r="AE5">
        <v>9.4100000000000001</v>
      </c>
      <c r="AF5">
        <v>0</v>
      </c>
      <c r="AG5">
        <v>291.16000000000003</v>
      </c>
      <c r="AH5">
        <v>7251.8199999999997</v>
      </c>
      <c r="AI5">
        <v>7490.21</v>
      </c>
      <c r="AJ5">
        <v>1142.77</v>
      </c>
      <c r="AK5">
        <v>0</v>
      </c>
      <c r="AL5">
        <v>506.36000000000001</v>
      </c>
      <c r="AM5">
        <v>1432.9300000000001</v>
      </c>
      <c r="AN5">
        <v>266.89999999999998</v>
      </c>
      <c r="AO5">
        <v>1078.1400000000001</v>
      </c>
      <c r="AP5">
        <v>1280.5599999999999</v>
      </c>
      <c r="AQ5" s="1">
        <v>2274.8600000000001</v>
      </c>
      <c r="AR5" s="1">
        <v>706.79999999999995</v>
      </c>
      <c r="AS5" s="1">
        <v>0</v>
      </c>
      <c r="AT5" s="1">
        <v>506.07999999999998</v>
      </c>
      <c r="AU5">
        <v>0</v>
      </c>
      <c r="AV5" s="1">
        <v>65.400000000000006</v>
      </c>
      <c r="AW5" s="1">
        <v>4427.6000000000004</v>
      </c>
      <c r="AX5" s="1">
        <v>1884.6900000000001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3">
        <v>5975</v>
      </c>
      <c r="BE5">
        <v>11</v>
      </c>
      <c r="BF5" s="1">
        <v>821563.09999999998</v>
      </c>
      <c r="BG5">
        <v>65</v>
      </c>
      <c r="BH5" s="1">
        <v>0</v>
      </c>
      <c r="BI5" s="1">
        <v>400244.37</v>
      </c>
      <c r="BJ5" s="3">
        <v>13521</v>
      </c>
      <c r="BK5" s="1">
        <v>88348.240000000005</v>
      </c>
      <c r="BL5" s="1">
        <v>54404.93</v>
      </c>
      <c r="BM5" s="1">
        <v>27052.490000000002</v>
      </c>
      <c r="BN5" s="1">
        <v>40356.260000000002</v>
      </c>
      <c r="BO5" s="1">
        <v>24052.389999999999</v>
      </c>
      <c r="BP5">
        <v>1251</v>
      </c>
      <c r="BQ5">
        <v>763</v>
      </c>
      <c r="BR5">
        <v>1746</v>
      </c>
      <c r="BS5">
        <v>622</v>
      </c>
      <c r="BT5">
        <v>274</v>
      </c>
      <c r="BU5" s="1">
        <v>90976.630000000005</v>
      </c>
      <c r="BV5" s="4">
        <v>0.35385691290219512</v>
      </c>
      <c r="BW5" s="1">
        <v>1884.6900000000001</v>
      </c>
      <c r="BX5" s="1">
        <v>60925.850000000006</v>
      </c>
      <c r="BY5" s="5">
        <v>0.23697331058473153</v>
      </c>
      <c r="BZ5" s="1">
        <v>16179.529999999999</v>
      </c>
      <c r="CA5" s="5">
        <v>0.062930870686333976</v>
      </c>
      <c r="CB5" s="1">
        <v>6328.2699999999995</v>
      </c>
      <c r="CC5" s="1">
        <v>0</v>
      </c>
      <c r="CD5" s="1">
        <v>7542.9799999999996</v>
      </c>
      <c r="CE5" s="1">
        <v>-17407.550000000025</v>
      </c>
      <c r="CF5" s="1">
        <v>43.029297071129704</v>
      </c>
      <c r="CG5" s="17">
        <v>2.2629288702928871</v>
      </c>
      <c r="CH5" s="5">
        <v>0.68155953295224947</v>
      </c>
      <c r="CI5" s="5">
        <v>-0.067707299162330092</v>
      </c>
      <c r="CJ5" s="18">
        <f t="shared" si="3"/>
        <v>-19292.240000000023</v>
      </c>
      <c r="CK5" s="19">
        <f t="shared" si="4"/>
        <v>-0.075037869498664131</v>
      </c>
    </row>
    <row r="6">
      <c r="A6" t="s">
        <v>97</v>
      </c>
      <c r="B6" s="16">
        <v>10261570000199</v>
      </c>
      <c r="C6" t="s">
        <v>90</v>
      </c>
      <c r="D6" t="s">
        <v>91</v>
      </c>
      <c r="E6" t="s">
        <v>92</v>
      </c>
      <c r="F6" t="s">
        <v>93</v>
      </c>
      <c r="G6" s="1">
        <v>241325.01999999999</v>
      </c>
      <c r="H6" s="1">
        <v>156399.60999999999</v>
      </c>
      <c r="I6" s="5">
        <f t="shared" si="0"/>
        <v>0.3932359180270027</v>
      </c>
      <c r="J6" s="1">
        <v>7237.4899999999998</v>
      </c>
      <c r="K6" s="1">
        <v>4054.4200000000001</v>
      </c>
      <c r="L6" s="1">
        <v>160059.97</v>
      </c>
      <c r="M6" s="1">
        <f t="shared" si="1"/>
        <v>81265.049999999988</v>
      </c>
      <c r="N6" s="5">
        <f t="shared" si="2"/>
        <v>0.33674523263273737</v>
      </c>
      <c r="O6" s="1">
        <v>5551.6300000000001</v>
      </c>
      <c r="P6" s="1">
        <v>471.81999999999999</v>
      </c>
      <c r="Q6">
        <v>0</v>
      </c>
      <c r="R6">
        <v>26524.82</v>
      </c>
      <c r="S6">
        <v>7929.4499999999998</v>
      </c>
      <c r="T6">
        <v>2946.9099999999999</v>
      </c>
      <c r="U6">
        <v>2524.0999999999999</v>
      </c>
      <c r="V6">
        <v>3306.9899999999998</v>
      </c>
      <c r="W6">
        <v>1833.1400000000001</v>
      </c>
      <c r="X6">
        <v>0</v>
      </c>
      <c r="Y6">
        <v>0</v>
      </c>
      <c r="Z6">
        <v>1624</v>
      </c>
      <c r="AA6">
        <v>385.08999999999997</v>
      </c>
      <c r="AB6">
        <v>264</v>
      </c>
      <c r="AC6">
        <v>1586.8099999999999</v>
      </c>
      <c r="AD6">
        <v>2301.3200000000002</v>
      </c>
      <c r="AE6">
        <v>9.3699999999999992</v>
      </c>
      <c r="AF6">
        <v>0</v>
      </c>
      <c r="AG6">
        <v>423.25</v>
      </c>
      <c r="AH6">
        <v>6681.8000000000002</v>
      </c>
      <c r="AI6">
        <v>7133</v>
      </c>
      <c r="AJ6">
        <v>1870.3299999999999</v>
      </c>
      <c r="AK6">
        <v>0</v>
      </c>
      <c r="AL6">
        <v>365.60000000000002</v>
      </c>
      <c r="AM6">
        <v>0</v>
      </c>
      <c r="AN6">
        <v>171.19999999999999</v>
      </c>
      <c r="AO6">
        <v>1707.6400000000001</v>
      </c>
      <c r="AP6">
        <v>156.22999999999999</v>
      </c>
      <c r="AQ6" s="1">
        <v>1699.3900000000001</v>
      </c>
      <c r="AR6" s="1">
        <v>513.94000000000005</v>
      </c>
      <c r="AS6" s="1">
        <v>0</v>
      </c>
      <c r="AT6" s="1">
        <v>518.96000000000004</v>
      </c>
      <c r="AU6">
        <v>0</v>
      </c>
      <c r="AV6" s="1">
        <v>64.450000000000003</v>
      </c>
      <c r="AW6" s="1">
        <v>1593.8399999999999</v>
      </c>
      <c r="AX6" s="1">
        <v>1364.46</v>
      </c>
      <c r="AY6" s="1">
        <v>0</v>
      </c>
      <c r="AZ6" s="1">
        <v>0</v>
      </c>
      <c r="BA6" s="1">
        <v>41274.550000000003</v>
      </c>
      <c r="BB6" s="1">
        <v>0</v>
      </c>
      <c r="BC6" s="1">
        <v>0</v>
      </c>
      <c r="BD6" s="3">
        <v>5754</v>
      </c>
      <c r="BE6">
        <v>11</v>
      </c>
      <c r="BF6" s="1">
        <v>804562.08999999997</v>
      </c>
      <c r="BG6">
        <v>65</v>
      </c>
      <c r="BH6" s="1">
        <v>0</v>
      </c>
      <c r="BI6" s="1">
        <v>372744.41999999998</v>
      </c>
      <c r="BJ6" s="3">
        <v>12838</v>
      </c>
      <c r="BK6" s="1">
        <v>72535.600000000006</v>
      </c>
      <c r="BL6" s="1">
        <v>54993.339999999997</v>
      </c>
      <c r="BM6" s="1">
        <v>25187.990000000002</v>
      </c>
      <c r="BN6" s="1">
        <v>42378.349999999999</v>
      </c>
      <c r="BO6" s="1">
        <v>23552.18</v>
      </c>
      <c r="BP6">
        <v>1168</v>
      </c>
      <c r="BQ6">
        <v>735</v>
      </c>
      <c r="BR6">
        <v>1558</v>
      </c>
      <c r="BS6">
        <v>610</v>
      </c>
      <c r="BT6">
        <v>283</v>
      </c>
      <c r="BU6" s="1">
        <v>71958.37999999999</v>
      </c>
      <c r="BV6" s="4">
        <v>0.29818035444480639</v>
      </c>
      <c r="BW6" s="1">
        <v>42639.010000000002</v>
      </c>
      <c r="BX6" s="1">
        <v>45065.409999999989</v>
      </c>
      <c r="BY6" s="5">
        <v>0.18674155709175944</v>
      </c>
      <c r="BZ6" s="1">
        <v>13617.33</v>
      </c>
      <c r="CA6" s="5">
        <v>0.056427344334209525</v>
      </c>
      <c r="CB6" s="1">
        <v>6170.5900000000001</v>
      </c>
      <c r="CC6" s="1">
        <v>0</v>
      </c>
      <c r="CD6" s="1">
        <v>7105.0500000000002</v>
      </c>
      <c r="CE6" s="1">
        <v>-6869.3600000000079</v>
      </c>
      <c r="CF6" s="1">
        <v>41.940392770246781</v>
      </c>
      <c r="CG6" s="17">
        <v>2.2311435523114356</v>
      </c>
      <c r="CH6" s="5">
        <v>0.66325476736726263</v>
      </c>
      <c r="CI6" s="5">
        <v>-0.028465179449689917</v>
      </c>
      <c r="CJ6" s="18">
        <f t="shared" si="3"/>
        <v>-49508.37000000001</v>
      </c>
      <c r="CK6" s="19">
        <f t="shared" si="4"/>
        <v>-0.20515224654285749</v>
      </c>
    </row>
    <row r="7">
      <c r="A7" t="s">
        <v>98</v>
      </c>
      <c r="B7" s="16">
        <v>10261570000199</v>
      </c>
      <c r="C7" t="s">
        <v>90</v>
      </c>
      <c r="D7" t="s">
        <v>91</v>
      </c>
      <c r="E7" t="s">
        <v>92</v>
      </c>
      <c r="F7" t="s">
        <v>99</v>
      </c>
      <c r="G7" s="1">
        <v>228787.14000000001</v>
      </c>
      <c r="H7" s="1">
        <v>148876.91</v>
      </c>
      <c r="I7" s="5">
        <f t="shared" si="0"/>
        <v>0.39420461121464961</v>
      </c>
      <c r="J7" s="1">
        <v>23065.200000000001</v>
      </c>
      <c r="K7" s="1">
        <v>2708.6599999999999</v>
      </c>
      <c r="L7" s="1">
        <v>153089.45999999999</v>
      </c>
      <c r="M7" s="1">
        <f t="shared" si="1"/>
        <v>75697.680000000022</v>
      </c>
      <c r="N7" s="5">
        <f t="shared" si="2"/>
        <v>0.33086510019750243</v>
      </c>
      <c r="O7" s="1">
        <v>4773.75</v>
      </c>
      <c r="P7" s="1">
        <v>301.25</v>
      </c>
      <c r="Q7">
        <v>0</v>
      </c>
      <c r="R7">
        <v>23898.27</v>
      </c>
      <c r="S7">
        <v>11582.969999999999</v>
      </c>
      <c r="T7">
        <v>2655.0999999999999</v>
      </c>
      <c r="U7">
        <v>2897.2399999999998</v>
      </c>
      <c r="V7">
        <v>3179.7199999999998</v>
      </c>
      <c r="W7">
        <v>1812.6900000000001</v>
      </c>
      <c r="X7">
        <v>0</v>
      </c>
      <c r="Y7">
        <v>0</v>
      </c>
      <c r="Z7">
        <v>1714.22</v>
      </c>
      <c r="AA7">
        <v>385.08999999999997</v>
      </c>
      <c r="AB7">
        <v>46.689999999999998</v>
      </c>
      <c r="AC7">
        <v>1586.8099999999999</v>
      </c>
      <c r="AD7">
        <v>3720.23</v>
      </c>
      <c r="AE7">
        <v>9.3699999999999992</v>
      </c>
      <c r="AF7">
        <v>0</v>
      </c>
      <c r="AG7">
        <v>905.96000000000004</v>
      </c>
      <c r="AH7">
        <v>6481.8199999999997</v>
      </c>
      <c r="AI7">
        <v>7133</v>
      </c>
      <c r="AJ7">
        <v>3133.8400000000001</v>
      </c>
      <c r="AK7">
        <v>20</v>
      </c>
      <c r="AL7">
        <v>652.13</v>
      </c>
      <c r="AM7">
        <v>1507.8499999999999</v>
      </c>
      <c r="AN7">
        <v>427.58999999999997</v>
      </c>
      <c r="AO7">
        <v>3730.3400000000001</v>
      </c>
      <c r="AP7">
        <v>46.229999999999997</v>
      </c>
      <c r="AQ7" s="1">
        <v>2151.46</v>
      </c>
      <c r="AR7" s="1">
        <v>628.01999999999998</v>
      </c>
      <c r="AS7" s="1">
        <v>0</v>
      </c>
      <c r="AT7" s="1">
        <v>505.73000000000002</v>
      </c>
      <c r="AU7">
        <v>0</v>
      </c>
      <c r="AV7" s="1">
        <v>42.079999999999998</v>
      </c>
      <c r="AW7" s="1">
        <v>0</v>
      </c>
      <c r="AX7" s="1">
        <v>422.00999999999999</v>
      </c>
      <c r="AY7" s="1">
        <v>0</v>
      </c>
      <c r="AZ7" s="1">
        <v>14598.790000000001</v>
      </c>
      <c r="BA7" s="1">
        <v>43340.300000000003</v>
      </c>
      <c r="BB7" s="1">
        <v>0</v>
      </c>
      <c r="BC7" s="1">
        <v>0</v>
      </c>
      <c r="BD7" s="3">
        <v>5333</v>
      </c>
      <c r="BE7">
        <v>10</v>
      </c>
      <c r="BF7" s="1">
        <v>672502.10999999999</v>
      </c>
      <c r="BG7">
        <v>65</v>
      </c>
      <c r="BH7" s="1">
        <v>0</v>
      </c>
      <c r="BI7" s="1">
        <v>286472.66999999998</v>
      </c>
      <c r="BJ7" s="3">
        <v>11654</v>
      </c>
      <c r="BK7" s="1">
        <v>72089.309999999998</v>
      </c>
      <c r="BL7" s="1">
        <v>53324.849999999999</v>
      </c>
      <c r="BM7" s="1">
        <v>20555.790000000001</v>
      </c>
      <c r="BN7" s="1">
        <v>35470.699999999997</v>
      </c>
      <c r="BO7" s="1">
        <v>24317.009999999998</v>
      </c>
      <c r="BP7">
        <v>1114</v>
      </c>
      <c r="BQ7">
        <v>652</v>
      </c>
      <c r="BR7">
        <v>589</v>
      </c>
      <c r="BS7">
        <v>271</v>
      </c>
      <c r="BT7">
        <v>1309</v>
      </c>
      <c r="BU7" s="1">
        <v>80306.639999999999</v>
      </c>
      <c r="BV7" s="4">
        <v>0.35101028842792475</v>
      </c>
      <c r="BW7" s="1">
        <v>58361.100000000006</v>
      </c>
      <c r="BX7" s="1">
        <v>46025.989999999998</v>
      </c>
      <c r="BY7" s="5">
        <v>0.20117385094284582</v>
      </c>
      <c r="BZ7" s="1">
        <v>19430.459999999999</v>
      </c>
      <c r="CA7" s="5">
        <v>0.084928112655282981</v>
      </c>
      <c r="CB7" s="1">
        <v>7462.4099999999999</v>
      </c>
      <c r="CC7" s="1">
        <v>0</v>
      </c>
      <c r="CD7" s="1">
        <v>7387.7799999999997</v>
      </c>
      <c r="CE7" s="1">
        <v>-35921.470000000001</v>
      </c>
      <c r="CF7" s="1">
        <v>42.900270016876057</v>
      </c>
      <c r="CG7" s="17">
        <v>2.185261578848678</v>
      </c>
      <c r="CH7" s="5">
        <v>0.66913489980249752</v>
      </c>
      <c r="CI7" s="5">
        <v>-0.15700825667037055</v>
      </c>
      <c r="CJ7" s="18">
        <f t="shared" si="3"/>
        <v>-94282.570000000007</v>
      </c>
      <c r="CK7" s="19">
        <f t="shared" si="4"/>
        <v>-0.41209733204410004</v>
      </c>
    </row>
    <row r="8">
      <c r="A8" t="s">
        <v>89</v>
      </c>
      <c r="B8" s="16">
        <v>18242999000140</v>
      </c>
      <c r="C8" t="s">
        <v>100</v>
      </c>
      <c r="D8" t="s">
        <v>91</v>
      </c>
      <c r="E8" t="s">
        <v>92</v>
      </c>
      <c r="F8" t="s">
        <v>93</v>
      </c>
      <c r="G8" s="1">
        <v>733788.71999999997</v>
      </c>
      <c r="H8" s="1">
        <v>478370.84000000003</v>
      </c>
      <c r="I8" s="5">
        <f t="shared" si="0"/>
        <v>0.39464345766492986</v>
      </c>
      <c r="J8" s="1">
        <v>11145.469999999999</v>
      </c>
      <c r="K8" s="1">
        <v>10324.82</v>
      </c>
      <c r="L8" s="1">
        <v>498325.03000000003</v>
      </c>
      <c r="M8" s="1">
        <f t="shared" si="1"/>
        <v>235463.68999999994</v>
      </c>
      <c r="N8" s="5">
        <f t="shared" si="2"/>
        <v>0.3208875846442556</v>
      </c>
      <c r="O8" s="1">
        <v>6406.5900000000001</v>
      </c>
      <c r="P8" s="1">
        <v>1007.0599999999999</v>
      </c>
      <c r="Q8">
        <v>0</v>
      </c>
      <c r="R8">
        <v>56901.699999999997</v>
      </c>
      <c r="S8">
        <v>16550.779999999999</v>
      </c>
      <c r="T8">
        <v>4716.9799999999996</v>
      </c>
      <c r="U8">
        <v>5884.8999999999996</v>
      </c>
      <c r="V8">
        <v>2012.54</v>
      </c>
      <c r="W8">
        <v>3129.1999999999998</v>
      </c>
      <c r="X8">
        <v>1412</v>
      </c>
      <c r="Y8">
        <v>0</v>
      </c>
      <c r="Z8">
        <v>1771</v>
      </c>
      <c r="AA8">
        <v>217</v>
      </c>
      <c r="AB8">
        <v>0</v>
      </c>
      <c r="AC8">
        <v>1586.8099999999999</v>
      </c>
      <c r="AD8">
        <v>2425.8699999999999</v>
      </c>
      <c r="AE8">
        <v>9.3699999999999992</v>
      </c>
      <c r="AF8">
        <v>113.97</v>
      </c>
      <c r="AG8">
        <v>181.21000000000001</v>
      </c>
      <c r="AH8">
        <v>13320.34</v>
      </c>
      <c r="AI8">
        <v>35286.220000000001</v>
      </c>
      <c r="AJ8">
        <v>6491.0799999999999</v>
      </c>
      <c r="AK8">
        <v>77.200000000000003</v>
      </c>
      <c r="AL8">
        <v>468.77999999999997</v>
      </c>
      <c r="AM8">
        <v>404.81</v>
      </c>
      <c r="AN8">
        <v>203.09999999999999</v>
      </c>
      <c r="AO8">
        <v>5131.1199999999999</v>
      </c>
      <c r="AP8">
        <v>147.13999999999999</v>
      </c>
      <c r="AQ8" s="1">
        <v>1020.67</v>
      </c>
      <c r="AR8" s="1">
        <v>5990.1599999999999</v>
      </c>
      <c r="AS8" s="1">
        <v>0</v>
      </c>
      <c r="AT8" s="1">
        <v>314.17000000000002</v>
      </c>
      <c r="AU8">
        <v>0</v>
      </c>
      <c r="AV8" s="1">
        <v>14.949999999999999</v>
      </c>
      <c r="AW8" s="1">
        <v>7012.2799999999997</v>
      </c>
      <c r="AX8" s="1">
        <v>3353.71</v>
      </c>
      <c r="AY8" s="1">
        <v>0</v>
      </c>
      <c r="AZ8" s="1">
        <v>74.480000000000004</v>
      </c>
      <c r="BA8" s="1">
        <v>788.5</v>
      </c>
      <c r="BB8" s="1">
        <v>0</v>
      </c>
      <c r="BC8" s="1">
        <v>133.94</v>
      </c>
      <c r="BD8" s="3">
        <v>12959</v>
      </c>
      <c r="BE8">
        <v>24</v>
      </c>
      <c r="BF8" s="1">
        <v>2145616.7000000002</v>
      </c>
      <c r="BG8">
        <v>201</v>
      </c>
      <c r="BH8" s="1">
        <v>16664.470000000001</v>
      </c>
      <c r="BI8" s="1">
        <v>965475.81999999995</v>
      </c>
      <c r="BJ8" s="3">
        <v>38396</v>
      </c>
      <c r="BK8" s="1">
        <v>225447.22</v>
      </c>
      <c r="BL8" s="1">
        <v>163537.64999999999</v>
      </c>
      <c r="BM8" s="1">
        <v>49501.150000000001</v>
      </c>
      <c r="BN8" s="1">
        <v>138680.84</v>
      </c>
      <c r="BO8" s="1">
        <v>85935.029999999999</v>
      </c>
      <c r="BP8">
        <v>2237</v>
      </c>
      <c r="BQ8">
        <v>951</v>
      </c>
      <c r="BR8">
        <v>4139</v>
      </c>
      <c r="BS8">
        <v>1545</v>
      </c>
      <c r="BT8">
        <v>355</v>
      </c>
      <c r="BU8" s="1">
        <v>165453.94999999998</v>
      </c>
      <c r="BV8" s="4">
        <v>0.2254790043651802</v>
      </c>
      <c r="BW8" s="1">
        <v>4350.6300000000001</v>
      </c>
      <c r="BX8" s="1">
        <v>89196.099999999977</v>
      </c>
      <c r="BY8" s="5">
        <v>0.12155556166085515</v>
      </c>
      <c r="BZ8" s="1">
        <v>55220.279999999999</v>
      </c>
      <c r="CA8" s="5">
        <v>0.075253650669364333</v>
      </c>
      <c r="CB8" s="1">
        <v>6010.0500000000002</v>
      </c>
      <c r="CC8" s="1">
        <v>1412</v>
      </c>
      <c r="CD8" s="1">
        <v>13615.52</v>
      </c>
      <c r="CE8" s="1">
        <v>47838.860000000066</v>
      </c>
      <c r="CF8" s="1">
        <v>56.62386912570414</v>
      </c>
      <c r="CG8" s="17">
        <v>2.9628829384983408</v>
      </c>
      <c r="CH8" s="5">
        <v>0.6791124153557444</v>
      </c>
      <c r="CI8" s="5">
        <v>0.065194324600683515</v>
      </c>
      <c r="CJ8" s="18">
        <f t="shared" si="3"/>
        <v>43488.230000000069</v>
      </c>
      <c r="CK8" s="19">
        <f t="shared" si="4"/>
        <v>0.059265329126345891</v>
      </c>
    </row>
    <row r="9">
      <c r="A9" t="s">
        <v>94</v>
      </c>
      <c r="B9" s="16">
        <v>18242999000140</v>
      </c>
      <c r="C9" t="s">
        <v>100</v>
      </c>
      <c r="D9" t="s">
        <v>91</v>
      </c>
      <c r="E9" t="s">
        <v>92</v>
      </c>
      <c r="F9" t="s">
        <v>93</v>
      </c>
      <c r="G9" s="1">
        <v>703114.52000000002</v>
      </c>
      <c r="H9" s="1">
        <v>483919.47999999998</v>
      </c>
      <c r="I9" s="5">
        <f t="shared" si="0"/>
        <v>0.40767111978258413</v>
      </c>
      <c r="J9" s="1">
        <v>8445.3999999999996</v>
      </c>
      <c r="K9" s="1">
        <v>11360.370000000001</v>
      </c>
      <c r="L9" s="1">
        <v>479377.41999999998</v>
      </c>
      <c r="M9" s="1">
        <f t="shared" si="1"/>
        <v>223737.10000000003</v>
      </c>
      <c r="N9" s="5">
        <f t="shared" si="2"/>
        <v>0.31820861841965664</v>
      </c>
      <c r="O9" s="1">
        <v>5997.5699999999997</v>
      </c>
      <c r="P9" s="1">
        <v>414.74000000000001</v>
      </c>
      <c r="Q9">
        <v>0</v>
      </c>
      <c r="R9">
        <v>48822.629999999997</v>
      </c>
      <c r="S9">
        <v>16933.32</v>
      </c>
      <c r="T9">
        <v>5101.9099999999999</v>
      </c>
      <c r="U9">
        <v>7813</v>
      </c>
      <c r="V9">
        <v>2160.8099999999999</v>
      </c>
      <c r="W9">
        <v>3365.6799999999998</v>
      </c>
      <c r="X9">
        <v>0</v>
      </c>
      <c r="Y9">
        <v>0</v>
      </c>
      <c r="Z9">
        <v>1714.22</v>
      </c>
      <c r="AA9">
        <v>385.08999999999997</v>
      </c>
      <c r="AB9">
        <v>59.310000000000002</v>
      </c>
      <c r="AC9">
        <v>1586.8099999999999</v>
      </c>
      <c r="AD9">
        <v>2393.75</v>
      </c>
      <c r="AE9">
        <v>9.3699999999999992</v>
      </c>
      <c r="AF9">
        <v>17.460000000000001</v>
      </c>
      <c r="AG9">
        <v>596.41999999999996</v>
      </c>
      <c r="AH9">
        <v>12020.91</v>
      </c>
      <c r="AI9">
        <v>35286.220000000001</v>
      </c>
      <c r="AJ9">
        <v>4737.3000000000002</v>
      </c>
      <c r="AK9">
        <v>77.200000000000003</v>
      </c>
      <c r="AL9">
        <v>371.79000000000002</v>
      </c>
      <c r="AM9">
        <v>102.3</v>
      </c>
      <c r="AN9">
        <v>524.76999999999998</v>
      </c>
      <c r="AO9">
        <v>6223.3599999999997</v>
      </c>
      <c r="AP9">
        <v>56.140000000000001</v>
      </c>
      <c r="AQ9" s="1">
        <v>1813.1900000000001</v>
      </c>
      <c r="AR9" s="1">
        <v>7681.1700000000001</v>
      </c>
      <c r="AS9" s="1">
        <v>0</v>
      </c>
      <c r="AT9" s="1">
        <v>355.31</v>
      </c>
      <c r="AU9">
        <v>0</v>
      </c>
      <c r="AV9" s="1">
        <v>14.460000000000001</v>
      </c>
      <c r="AW9" s="1">
        <v>7012.2799999999997</v>
      </c>
      <c r="AX9" s="1">
        <v>476.58999999999997</v>
      </c>
      <c r="AY9" s="1">
        <v>634.48000000000002</v>
      </c>
      <c r="AZ9" s="1">
        <v>6.4800000000000004</v>
      </c>
      <c r="BA9" s="1">
        <v>448.5</v>
      </c>
      <c r="BB9" s="1">
        <v>0</v>
      </c>
      <c r="BC9" s="1">
        <v>0</v>
      </c>
      <c r="BD9" s="3">
        <v>12392</v>
      </c>
      <c r="BE9">
        <v>26</v>
      </c>
      <c r="BF9" s="1">
        <v>2253225.77</v>
      </c>
      <c r="BG9">
        <v>201</v>
      </c>
      <c r="BH9" s="1">
        <v>15101.98</v>
      </c>
      <c r="BI9" s="1">
        <v>1054734.02</v>
      </c>
      <c r="BJ9" s="3">
        <v>36335</v>
      </c>
      <c r="BK9" s="1">
        <v>217636.69</v>
      </c>
      <c r="BL9" s="1">
        <v>157439.73999999999</v>
      </c>
      <c r="BM9" s="1">
        <v>50379.489999999998</v>
      </c>
      <c r="BN9" s="1">
        <v>131952.85999999999</v>
      </c>
      <c r="BO9" s="1">
        <v>87655.919999999998</v>
      </c>
      <c r="BP9">
        <v>2221</v>
      </c>
      <c r="BQ9">
        <v>968</v>
      </c>
      <c r="BR9">
        <v>4333</v>
      </c>
      <c r="BS9">
        <v>1569</v>
      </c>
      <c r="BT9">
        <v>377</v>
      </c>
      <c r="BU9" s="1">
        <v>159854.12999999998</v>
      </c>
      <c r="BV9" s="4">
        <v>0.22735148464861737</v>
      </c>
      <c r="BW9" s="1">
        <v>1566.05</v>
      </c>
      <c r="BX9" s="1">
        <v>84197.349999999991</v>
      </c>
      <c r="BY9" s="5">
        <v>0.11974912706965572</v>
      </c>
      <c r="BZ9" s="1">
        <v>56873.440000000002</v>
      </c>
      <c r="CA9" s="5">
        <v>0.080887875847024185</v>
      </c>
      <c r="CB9" s="1">
        <v>6148.5500000000002</v>
      </c>
      <c r="CC9" s="1">
        <v>0</v>
      </c>
      <c r="CD9" s="1">
        <v>12634.789999999999</v>
      </c>
      <c r="CE9" s="1">
        <v>44336.320000000014</v>
      </c>
      <c r="CF9" s="1">
        <v>56.739389928986448</v>
      </c>
      <c r="CG9" s="17">
        <v>2.9321336346029696</v>
      </c>
      <c r="CH9" s="5">
        <v>0.68179138158034336</v>
      </c>
      <c r="CI9" s="5">
        <v>0.063057039413721691</v>
      </c>
      <c r="CJ9" s="18">
        <f t="shared" si="3"/>
        <v>42770.270000000011</v>
      </c>
      <c r="CK9" s="19">
        <f t="shared" si="4"/>
        <v>0.060829735104887338</v>
      </c>
    </row>
    <row r="10">
      <c r="A10" t="s">
        <v>95</v>
      </c>
      <c r="B10" s="16">
        <v>18242999000140</v>
      </c>
      <c r="C10" t="s">
        <v>100</v>
      </c>
      <c r="D10" t="s">
        <v>91</v>
      </c>
      <c r="E10" t="s">
        <v>92</v>
      </c>
      <c r="F10" t="s">
        <v>93</v>
      </c>
      <c r="G10" s="1">
        <v>786650.60999999999</v>
      </c>
      <c r="H10" s="1">
        <v>522482.91999999998</v>
      </c>
      <c r="I10" s="5">
        <f t="shared" si="0"/>
        <v>0.39910590327634493</v>
      </c>
      <c r="J10" s="1">
        <v>21134.720000000001</v>
      </c>
      <c r="K10" s="1">
        <v>8825.3600000000006</v>
      </c>
      <c r="L10" s="1">
        <v>535312.34999999998</v>
      </c>
      <c r="M10" s="1">
        <f t="shared" si="1"/>
        <v>251338.26000000001</v>
      </c>
      <c r="N10" s="5">
        <f t="shared" si="2"/>
        <v>0.31950430954347064</v>
      </c>
      <c r="O10" s="1">
        <v>6715.1499999999996</v>
      </c>
      <c r="P10" s="1">
        <v>1634.3800000000001</v>
      </c>
      <c r="Q10">
        <v>0</v>
      </c>
      <c r="R10">
        <v>44272.230000000003</v>
      </c>
      <c r="S10">
        <v>25041.200000000001</v>
      </c>
      <c r="T10">
        <v>2782.0799999999999</v>
      </c>
      <c r="U10">
        <v>5630.0600000000004</v>
      </c>
      <c r="V10">
        <v>2100.4099999999999</v>
      </c>
      <c r="W10">
        <v>4047.8099999999999</v>
      </c>
      <c r="X10">
        <v>0</v>
      </c>
      <c r="Y10">
        <v>0</v>
      </c>
      <c r="Z10">
        <v>1714.22</v>
      </c>
      <c r="AA10">
        <v>385.08999999999997</v>
      </c>
      <c r="AB10">
        <v>0</v>
      </c>
      <c r="AC10">
        <v>1729.99</v>
      </c>
      <c r="AD10">
        <v>2397.6799999999998</v>
      </c>
      <c r="AE10">
        <v>9.3699999999999992</v>
      </c>
      <c r="AF10">
        <v>0</v>
      </c>
      <c r="AG10">
        <v>762.58000000000004</v>
      </c>
      <c r="AH10">
        <v>6463.6400000000003</v>
      </c>
      <c r="AI10">
        <v>35536.220000000001</v>
      </c>
      <c r="AJ10">
        <v>3617.6399999999999</v>
      </c>
      <c r="AK10">
        <v>77.200000000000003</v>
      </c>
      <c r="AL10">
        <v>385.30000000000001</v>
      </c>
      <c r="AM10">
        <v>1013.48</v>
      </c>
      <c r="AN10">
        <v>318.30000000000001</v>
      </c>
      <c r="AO10">
        <v>4539.8000000000002</v>
      </c>
      <c r="AP10">
        <v>56.140000000000001</v>
      </c>
      <c r="AQ10" s="1">
        <v>1890.3699999999999</v>
      </c>
      <c r="AR10" s="1">
        <v>5201.2200000000003</v>
      </c>
      <c r="AS10" s="1">
        <v>0</v>
      </c>
      <c r="AT10" s="1">
        <v>409.33999999999997</v>
      </c>
      <c r="AU10">
        <v>0</v>
      </c>
      <c r="AV10" s="1">
        <v>10.1</v>
      </c>
      <c r="AW10" s="1">
        <v>5465.9300000000003</v>
      </c>
      <c r="AX10" s="1">
        <v>2723.7600000000002</v>
      </c>
      <c r="AY10" s="1">
        <v>5834.8299999999999</v>
      </c>
      <c r="AZ10" s="1">
        <v>6.4800000000000004</v>
      </c>
      <c r="BA10" s="1">
        <v>448.5</v>
      </c>
      <c r="BB10" s="1">
        <v>0</v>
      </c>
      <c r="BC10" s="1">
        <v>31085.150000000001</v>
      </c>
      <c r="BD10" s="3">
        <v>13311</v>
      </c>
      <c r="BE10">
        <v>26</v>
      </c>
      <c r="BF10" s="1">
        <v>2184228.79</v>
      </c>
      <c r="BG10">
        <v>201</v>
      </c>
      <c r="BH10" s="1">
        <v>18769.169999999998</v>
      </c>
      <c r="BI10" s="1">
        <v>993519.93999999994</v>
      </c>
      <c r="BJ10" s="3">
        <v>38914</v>
      </c>
      <c r="BK10" s="1">
        <v>237382.82000000001</v>
      </c>
      <c r="BL10" s="1">
        <v>181236.39000000001</v>
      </c>
      <c r="BM10" s="1">
        <v>51872.889999999999</v>
      </c>
      <c r="BN10" s="1">
        <v>143809.06</v>
      </c>
      <c r="BO10" s="1">
        <v>103328.05</v>
      </c>
      <c r="BP10">
        <v>2354</v>
      </c>
      <c r="BQ10">
        <v>982</v>
      </c>
      <c r="BR10">
        <v>3993</v>
      </c>
      <c r="BS10">
        <v>1448</v>
      </c>
      <c r="BT10">
        <v>370</v>
      </c>
      <c r="BU10" s="1">
        <v>149972.03000000003</v>
      </c>
      <c r="BV10" s="4">
        <v>0.19064630230185678</v>
      </c>
      <c r="BW10" s="1">
        <v>40098.720000000001</v>
      </c>
      <c r="BX10" s="1">
        <v>83873.790000000008</v>
      </c>
      <c r="BY10" s="5">
        <v>0.10662140082749064</v>
      </c>
      <c r="BZ10" s="1">
        <v>52635.670000000013</v>
      </c>
      <c r="CA10" s="5">
        <v>0.066911115723917142</v>
      </c>
      <c r="CB10" s="1">
        <v>6236.3499999999995</v>
      </c>
      <c r="CC10" s="1">
        <v>0</v>
      </c>
      <c r="CD10" s="1">
        <v>7226.2200000000003</v>
      </c>
      <c r="CE10" s="1">
        <v>68123.310000000056</v>
      </c>
      <c r="CF10" s="1">
        <v>59.097784539102996</v>
      </c>
      <c r="CG10" s="17">
        <v>2.9234467733453533</v>
      </c>
      <c r="CH10" s="5">
        <v>0.68049569045652936</v>
      </c>
      <c r="CI10" s="5">
        <v>0.086599195543749799</v>
      </c>
      <c r="CJ10" s="18">
        <f t="shared" si="3"/>
        <v>28024.590000000055</v>
      </c>
      <c r="CK10" s="19">
        <f t="shared" si="4"/>
        <v>0.035625205960242066</v>
      </c>
    </row>
    <row r="11">
      <c r="A11" t="s">
        <v>96</v>
      </c>
      <c r="B11" s="16">
        <v>18242999000140</v>
      </c>
      <c r="C11" t="s">
        <v>100</v>
      </c>
      <c r="D11" t="s">
        <v>91</v>
      </c>
      <c r="E11" t="s">
        <v>92</v>
      </c>
      <c r="F11" t="s">
        <v>93</v>
      </c>
      <c r="G11" s="1">
        <v>668827.28000000003</v>
      </c>
      <c r="H11" s="1">
        <v>442780.14000000001</v>
      </c>
      <c r="I11" s="5">
        <f t="shared" si="0"/>
        <v>0.39832420334149987</v>
      </c>
      <c r="J11" s="1">
        <v>14737.66</v>
      </c>
      <c r="K11" s="1">
        <v>8118.4899999999998</v>
      </c>
      <c r="L11" s="1">
        <v>454924.28000000003</v>
      </c>
      <c r="M11" s="1">
        <f t="shared" si="1"/>
        <v>213903</v>
      </c>
      <c r="N11" s="5">
        <f t="shared" si="2"/>
        <v>0.31981799546214679</v>
      </c>
      <c r="O11" s="1">
        <v>5992.2700000000004</v>
      </c>
      <c r="P11" s="1">
        <v>1304.45</v>
      </c>
      <c r="Q11">
        <v>0</v>
      </c>
      <c r="R11">
        <v>57104.68</v>
      </c>
      <c r="S11">
        <v>23418.619999999999</v>
      </c>
      <c r="T11">
        <v>6344.3299999999999</v>
      </c>
      <c r="U11">
        <v>7132.5699999999997</v>
      </c>
      <c r="V11">
        <v>2146.1300000000001</v>
      </c>
      <c r="W11">
        <v>6064.6300000000001</v>
      </c>
      <c r="X11">
        <v>0</v>
      </c>
      <c r="Y11">
        <v>0</v>
      </c>
      <c r="Z11">
        <v>1714.22</v>
      </c>
      <c r="AA11">
        <v>385.08999999999997</v>
      </c>
      <c r="AB11">
        <v>35.310000000000002</v>
      </c>
      <c r="AC11">
        <v>1586.8099999999999</v>
      </c>
      <c r="AD11">
        <v>2437.4899999999998</v>
      </c>
      <c r="AE11">
        <v>9.3699999999999992</v>
      </c>
      <c r="AF11">
        <v>0</v>
      </c>
      <c r="AG11">
        <v>441.16000000000003</v>
      </c>
      <c r="AH11">
        <v>7625.8500000000004</v>
      </c>
      <c r="AI11">
        <v>35643.459999999999</v>
      </c>
      <c r="AJ11">
        <v>2957.6399999999999</v>
      </c>
      <c r="AK11">
        <v>77.200000000000003</v>
      </c>
      <c r="AL11">
        <v>406.83999999999997</v>
      </c>
      <c r="AM11">
        <v>1388.24</v>
      </c>
      <c r="AN11">
        <v>266.89999999999998</v>
      </c>
      <c r="AO11">
        <v>1331.78</v>
      </c>
      <c r="AP11">
        <v>56.140000000000001</v>
      </c>
      <c r="AQ11" s="1">
        <v>1688.1900000000001</v>
      </c>
      <c r="AR11" s="1">
        <v>8324.5699999999997</v>
      </c>
      <c r="AS11" s="1">
        <v>0</v>
      </c>
      <c r="AT11" s="1">
        <v>486.93000000000001</v>
      </c>
      <c r="AU11">
        <v>0</v>
      </c>
      <c r="AV11" s="1">
        <v>10.289999999999999</v>
      </c>
      <c r="AW11" s="1">
        <v>6537.4200000000001</v>
      </c>
      <c r="AX11" s="1">
        <v>2422.5599999999999</v>
      </c>
      <c r="AY11" s="1">
        <v>17077.439999999999</v>
      </c>
      <c r="AZ11" s="1">
        <v>2485.9699999999998</v>
      </c>
      <c r="BA11" s="1">
        <v>0</v>
      </c>
      <c r="BB11" s="1">
        <v>0</v>
      </c>
      <c r="BC11" s="1">
        <v>18091.52</v>
      </c>
      <c r="BD11" s="3">
        <v>12493</v>
      </c>
      <c r="BE11">
        <v>25</v>
      </c>
      <c r="BF11" s="1">
        <v>2059069.01</v>
      </c>
      <c r="BG11">
        <v>201</v>
      </c>
      <c r="BH11" s="1">
        <v>11528.67</v>
      </c>
      <c r="BI11" s="1">
        <v>938022.42000000004</v>
      </c>
      <c r="BJ11" s="3">
        <v>35653</v>
      </c>
      <c r="BK11" s="1">
        <v>206330.64000000001</v>
      </c>
      <c r="BL11" s="1">
        <v>144000.88</v>
      </c>
      <c r="BM11" s="1">
        <v>49704.459999999999</v>
      </c>
      <c r="BN11" s="1">
        <v>130848.60000000001</v>
      </c>
      <c r="BO11" s="1">
        <v>82809.820000000007</v>
      </c>
      <c r="BP11">
        <v>2331</v>
      </c>
      <c r="BQ11">
        <v>990</v>
      </c>
      <c r="BR11">
        <v>4201</v>
      </c>
      <c r="BS11">
        <v>1418</v>
      </c>
      <c r="BT11">
        <v>348</v>
      </c>
      <c r="BU11" s="1">
        <v>168587.22000000006</v>
      </c>
      <c r="BV11" s="4">
        <v>0.25206391102946646</v>
      </c>
      <c r="BW11" s="1">
        <v>40077.490000000005</v>
      </c>
      <c r="BX11" s="1">
        <v>102210.96000000002</v>
      </c>
      <c r="BY11" s="5">
        <v>0.15282115884986033</v>
      </c>
      <c r="BZ11" s="1">
        <v>52140.959999999992</v>
      </c>
      <c r="CA11" s="5">
        <v>0.077958781824808324</v>
      </c>
      <c r="CB11" s="1">
        <v>6168.29</v>
      </c>
      <c r="CC11" s="1">
        <v>0</v>
      </c>
      <c r="CD11" s="1">
        <v>8067.0100000000002</v>
      </c>
      <c r="CE11" s="1">
        <v>21223.689999999984</v>
      </c>
      <c r="CF11" s="1">
        <v>53.536162651084609</v>
      </c>
      <c r="CG11" s="17">
        <v>2.8538381493636438</v>
      </c>
      <c r="CH11" s="5">
        <v>0.68018200453785316</v>
      </c>
      <c r="CI11" s="5">
        <v>0.031732691884218574</v>
      </c>
      <c r="CJ11" s="18">
        <f t="shared" si="3"/>
        <v>-18853.800000000021</v>
      </c>
      <c r="CK11" s="19">
        <f t="shared" si="4"/>
        <v>-0.028189340602255367</v>
      </c>
    </row>
    <row r="12">
      <c r="A12" t="s">
        <v>97</v>
      </c>
      <c r="B12" s="16">
        <v>18242999000140</v>
      </c>
      <c r="C12" t="s">
        <v>100</v>
      </c>
      <c r="D12" t="s">
        <v>91</v>
      </c>
      <c r="E12" t="s">
        <v>92</v>
      </c>
      <c r="F12" t="s">
        <v>93</v>
      </c>
      <c r="G12" s="1">
        <v>648248.10999999999</v>
      </c>
      <c r="H12" s="1">
        <v>404807.04999999999</v>
      </c>
      <c r="I12" s="5">
        <f t="shared" si="0"/>
        <v>0.38441200933861813</v>
      </c>
      <c r="J12" s="1">
        <v>8357</v>
      </c>
      <c r="K12" s="1">
        <v>9367.9599999999991</v>
      </c>
      <c r="L12" s="1">
        <v>439986.03000000003</v>
      </c>
      <c r="M12" s="1">
        <f t="shared" si="1"/>
        <v>208262.07999999996</v>
      </c>
      <c r="N12" s="5">
        <f t="shared" si="2"/>
        <v>0.32126908939233151</v>
      </c>
      <c r="O12" s="1">
        <v>15432.09</v>
      </c>
      <c r="P12" s="1">
        <v>1143.7</v>
      </c>
      <c r="Q12">
        <v>0</v>
      </c>
      <c r="R12">
        <v>52236.269999999997</v>
      </c>
      <c r="S12">
        <v>17266.110000000001</v>
      </c>
      <c r="T12">
        <v>5803.4499999999998</v>
      </c>
      <c r="U12">
        <v>6479</v>
      </c>
      <c r="V12">
        <v>1984.3099999999999</v>
      </c>
      <c r="W12">
        <v>3681.2800000000002</v>
      </c>
      <c r="X12">
        <v>0</v>
      </c>
      <c r="Y12">
        <v>0</v>
      </c>
      <c r="Z12">
        <v>1624</v>
      </c>
      <c r="AA12">
        <v>385.10000000000002</v>
      </c>
      <c r="AB12">
        <v>930.25999999999999</v>
      </c>
      <c r="AC12">
        <v>1586.8099999999999</v>
      </c>
      <c r="AD12">
        <v>2226.8899999999999</v>
      </c>
      <c r="AE12">
        <v>9.3699999999999992</v>
      </c>
      <c r="AF12">
        <v>0</v>
      </c>
      <c r="AG12">
        <v>573.24000000000001</v>
      </c>
      <c r="AH12">
        <v>6713.8199999999997</v>
      </c>
      <c r="AI12">
        <v>35286.220000000001</v>
      </c>
      <c r="AJ12">
        <v>3006.8299999999999</v>
      </c>
      <c r="AK12">
        <v>77.200000000000003</v>
      </c>
      <c r="AL12">
        <v>271.38</v>
      </c>
      <c r="AM12">
        <v>485.75999999999999</v>
      </c>
      <c r="AN12">
        <v>171.18000000000001</v>
      </c>
      <c r="AO12">
        <v>2058.25</v>
      </c>
      <c r="AP12">
        <v>166.13999999999999</v>
      </c>
      <c r="AQ12" s="1">
        <v>1262.73</v>
      </c>
      <c r="AR12" s="1">
        <v>5988.0200000000004</v>
      </c>
      <c r="AS12" s="1">
        <v>0</v>
      </c>
      <c r="AT12" s="1">
        <v>335.04000000000002</v>
      </c>
      <c r="AU12">
        <v>0</v>
      </c>
      <c r="AV12" s="1">
        <v>10.98</v>
      </c>
      <c r="AW12" s="1">
        <v>4004.9099999999999</v>
      </c>
      <c r="AX12" s="1">
        <v>4227.96</v>
      </c>
      <c r="AY12" s="1">
        <v>0</v>
      </c>
      <c r="AZ12" s="1">
        <v>2360.9200000000001</v>
      </c>
      <c r="BA12" s="1">
        <v>0</v>
      </c>
      <c r="BB12" s="1">
        <v>0</v>
      </c>
      <c r="BC12" s="1">
        <v>15000</v>
      </c>
      <c r="BD12" s="3">
        <v>10942</v>
      </c>
      <c r="BE12">
        <v>26</v>
      </c>
      <c r="BF12" s="1">
        <v>1999227.4299999999</v>
      </c>
      <c r="BG12">
        <v>201</v>
      </c>
      <c r="BH12" s="1">
        <v>30103.299999999999</v>
      </c>
      <c r="BI12" s="1">
        <v>904639.62</v>
      </c>
      <c r="BJ12" s="3">
        <v>32091</v>
      </c>
      <c r="BK12" s="1">
        <v>196637.98999999999</v>
      </c>
      <c r="BL12" s="1">
        <v>134871.13</v>
      </c>
      <c r="BM12" s="1">
        <v>47742.620000000003</v>
      </c>
      <c r="BN12" s="1">
        <v>128133.72</v>
      </c>
      <c r="BO12" s="1">
        <v>85865</v>
      </c>
      <c r="BP12">
        <v>2287</v>
      </c>
      <c r="BQ12">
        <v>929</v>
      </c>
      <c r="BR12">
        <v>4130</v>
      </c>
      <c r="BS12">
        <v>1403</v>
      </c>
      <c r="BT12">
        <v>320</v>
      </c>
      <c r="BU12" s="1">
        <v>150273.62000000002</v>
      </c>
      <c r="BV12" s="4">
        <v>0.23181497590482758</v>
      </c>
      <c r="BW12" s="1">
        <v>21588.880000000001</v>
      </c>
      <c r="BX12" s="1">
        <v>87450.419999999998</v>
      </c>
      <c r="BY12" s="5">
        <v>0.13490269952348954</v>
      </c>
      <c r="BZ12" s="1">
        <v>48773.710000000006</v>
      </c>
      <c r="CA12" s="5">
        <v>0.075239262942085564</v>
      </c>
      <c r="CB12" s="1">
        <v>6762.4299999999994</v>
      </c>
      <c r="CC12" s="1">
        <v>0</v>
      </c>
      <c r="CD12" s="1">
        <v>7287.0599999999995</v>
      </c>
      <c r="CE12" s="1">
        <v>27368.560000000016</v>
      </c>
      <c r="CF12" s="1">
        <v>59.244023944434289</v>
      </c>
      <c r="CG12" s="17">
        <v>2.9328276366295012</v>
      </c>
      <c r="CH12" s="5">
        <v>0.67873091060766844</v>
      </c>
      <c r="CI12" s="5">
        <v>0.04221926694086315</v>
      </c>
      <c r="CJ12" s="18">
        <f t="shared" si="3"/>
        <v>5779.6800000000148</v>
      </c>
      <c r="CK12" s="19">
        <f t="shared" si="4"/>
        <v>0.0089158455085970329</v>
      </c>
    </row>
    <row r="13">
      <c r="A13" t="s">
        <v>98</v>
      </c>
      <c r="B13" s="16">
        <v>18242999000140</v>
      </c>
      <c r="C13" t="s">
        <v>100</v>
      </c>
      <c r="D13" t="s">
        <v>91</v>
      </c>
      <c r="E13" t="s">
        <v>92</v>
      </c>
      <c r="F13" t="s">
        <v>93</v>
      </c>
      <c r="G13" s="1">
        <v>706886.25</v>
      </c>
      <c r="H13" s="1">
        <v>462148.48999999999</v>
      </c>
      <c r="I13" s="5">
        <f t="shared" si="0"/>
        <v>0.39532485578657822</v>
      </c>
      <c r="J13" s="1">
        <v>6447.21</v>
      </c>
      <c r="K13" s="1">
        <v>8954.9799999999996</v>
      </c>
      <c r="L13" s="1">
        <v>479387.21999999997</v>
      </c>
      <c r="M13" s="1">
        <f t="shared" si="1"/>
        <v>227499.03000000003</v>
      </c>
      <c r="N13" s="5">
        <f t="shared" si="2"/>
        <v>0.32183258621878702</v>
      </c>
      <c r="O13" s="1">
        <v>6438.8000000000002</v>
      </c>
      <c r="P13" s="1">
        <v>1264.4300000000001</v>
      </c>
      <c r="Q13">
        <v>0</v>
      </c>
      <c r="R13">
        <v>65467.480000000003</v>
      </c>
      <c r="S13">
        <v>21119.43</v>
      </c>
      <c r="T13">
        <v>7273.4399999999996</v>
      </c>
      <c r="U13">
        <v>5168.5699999999997</v>
      </c>
      <c r="V13">
        <v>2617.98</v>
      </c>
      <c r="W13">
        <v>3555.4000000000001</v>
      </c>
      <c r="X13">
        <v>0</v>
      </c>
      <c r="Y13">
        <v>0</v>
      </c>
      <c r="Z13">
        <v>1714.22</v>
      </c>
      <c r="AA13">
        <v>385.08999999999997</v>
      </c>
      <c r="AB13">
        <v>46.689999999999998</v>
      </c>
      <c r="AC13">
        <v>1586.8099999999999</v>
      </c>
      <c r="AD13">
        <v>2681.5700000000002</v>
      </c>
      <c r="AE13">
        <v>9.3699999999999992</v>
      </c>
      <c r="AF13">
        <v>598.85000000000002</v>
      </c>
      <c r="AG13">
        <v>848.96000000000004</v>
      </c>
      <c r="AH13">
        <v>6481.8199999999997</v>
      </c>
      <c r="AI13">
        <v>35286.260000000002</v>
      </c>
      <c r="AJ13">
        <v>4374.6599999999999</v>
      </c>
      <c r="AK13">
        <v>78.079999999999998</v>
      </c>
      <c r="AL13">
        <v>562.90999999999997</v>
      </c>
      <c r="AM13">
        <v>2036.3499999999999</v>
      </c>
      <c r="AN13">
        <v>427.58999999999997</v>
      </c>
      <c r="AO13">
        <v>695.75</v>
      </c>
      <c r="AP13">
        <v>56.140000000000001</v>
      </c>
      <c r="AQ13" s="1">
        <v>1564.79</v>
      </c>
      <c r="AR13" s="1">
        <v>6230.5100000000002</v>
      </c>
      <c r="AS13" s="1">
        <v>0</v>
      </c>
      <c r="AT13" s="1">
        <v>519.48000000000002</v>
      </c>
      <c r="AU13">
        <v>0</v>
      </c>
      <c r="AV13" s="1">
        <v>21.649999999999999</v>
      </c>
      <c r="AW13" s="1">
        <v>0</v>
      </c>
      <c r="AX13" s="1">
        <v>1896.24</v>
      </c>
      <c r="AY13" s="1">
        <v>0</v>
      </c>
      <c r="AZ13" s="1">
        <v>2658.6100000000001</v>
      </c>
      <c r="BA13" s="1">
        <v>400</v>
      </c>
      <c r="BB13" s="1">
        <v>0</v>
      </c>
      <c r="BC13" s="1">
        <v>15000</v>
      </c>
      <c r="BD13" s="3">
        <v>12207</v>
      </c>
      <c r="BE13">
        <v>23</v>
      </c>
      <c r="BF13" s="1">
        <v>1756363.4399999999</v>
      </c>
      <c r="BG13">
        <v>201</v>
      </c>
      <c r="BH13" s="1">
        <v>32058.130000000001</v>
      </c>
      <c r="BI13" s="1">
        <v>939275.83999999997</v>
      </c>
      <c r="BJ13" s="3">
        <v>35582</v>
      </c>
      <c r="BK13" s="1">
        <v>208693.37</v>
      </c>
      <c r="BL13" s="1">
        <v>151837.47</v>
      </c>
      <c r="BM13" s="1">
        <v>52906.529999999999</v>
      </c>
      <c r="BN13" s="1">
        <v>139594.01999999999</v>
      </c>
      <c r="BO13" s="1">
        <v>91266.589999999997</v>
      </c>
      <c r="BP13">
        <v>2285</v>
      </c>
      <c r="BQ13">
        <v>977</v>
      </c>
      <c r="BR13">
        <v>4148</v>
      </c>
      <c r="BS13">
        <v>1482</v>
      </c>
      <c r="BT13">
        <v>336</v>
      </c>
      <c r="BU13" s="1">
        <v>170868.72000000006</v>
      </c>
      <c r="BV13" s="4">
        <v>0.24172024848410908</v>
      </c>
      <c r="BW13" s="1">
        <v>19954.849999999999</v>
      </c>
      <c r="BX13" s="1">
        <v>105202.3</v>
      </c>
      <c r="BY13" s="5">
        <v>0.14882493470484112</v>
      </c>
      <c r="BZ13" s="1">
        <v>51313.040000000001</v>
      </c>
      <c r="CA13" s="5">
        <v>0.07259023640649398</v>
      </c>
      <c r="CB13" s="1">
        <v>6423.75</v>
      </c>
      <c r="CC13" s="1">
        <v>0</v>
      </c>
      <c r="CD13" s="1">
        <v>7929.6299999999992</v>
      </c>
      <c r="CE13" s="1">
        <v>33027.06000000007</v>
      </c>
      <c r="CF13" s="1">
        <v>57.908269845170807</v>
      </c>
      <c r="CG13" s="17">
        <v>2.9148849021053493</v>
      </c>
      <c r="CH13" s="5">
        <v>0.67816741378121304</v>
      </c>
      <c r="CI13" s="5">
        <v>0.046721887715314978</v>
      </c>
      <c r="CJ13" s="18">
        <f t="shared" si="3"/>
        <v>13072.210000000072</v>
      </c>
      <c r="CK13" s="19">
        <f t="shared" si="4"/>
        <v>0.018492664130898107</v>
      </c>
    </row>
    <row r="14">
      <c r="A14" t="s">
        <v>89</v>
      </c>
      <c r="B14" s="16">
        <v>19418959000170</v>
      </c>
      <c r="C14" t="s">
        <v>101</v>
      </c>
      <c r="D14" t="s">
        <v>91</v>
      </c>
      <c r="E14" t="s">
        <v>92</v>
      </c>
      <c r="F14" t="s">
        <v>93</v>
      </c>
      <c r="G14" s="1">
        <v>568272.81999999995</v>
      </c>
      <c r="H14" s="1">
        <v>336133.53000000003</v>
      </c>
      <c r="I14" s="5">
        <f t="shared" si="0"/>
        <v>0.37166206318653117</v>
      </c>
      <c r="J14" s="1">
        <v>9204.3999999999996</v>
      </c>
      <c r="K14" s="1">
        <v>6263.9899999999998</v>
      </c>
      <c r="L14" s="1">
        <v>393406.89000000001</v>
      </c>
      <c r="M14" s="1">
        <f t="shared" si="1"/>
        <v>174865.92999999993</v>
      </c>
      <c r="N14" s="5">
        <f t="shared" si="2"/>
        <v>0.30771475222059708</v>
      </c>
      <c r="O14" s="1">
        <v>4045.73</v>
      </c>
      <c r="P14" s="1">
        <v>609.57000000000005</v>
      </c>
      <c r="Q14">
        <v>0</v>
      </c>
      <c r="R14">
        <v>39127.720000000001</v>
      </c>
      <c r="S14">
        <v>12381.040000000001</v>
      </c>
      <c r="T14">
        <v>3860.4699999999998</v>
      </c>
      <c r="U14">
        <v>2728.1500000000001</v>
      </c>
      <c r="V14">
        <v>3010.7199999999998</v>
      </c>
      <c r="W14">
        <v>2425.0799999999999</v>
      </c>
      <c r="X14">
        <v>1412</v>
      </c>
      <c r="Y14">
        <v>0</v>
      </c>
      <c r="Z14">
        <v>1737.79</v>
      </c>
      <c r="AA14">
        <v>217</v>
      </c>
      <c r="AB14">
        <v>0</v>
      </c>
      <c r="AC14">
        <v>1586.8099999999999</v>
      </c>
      <c r="AD14">
        <v>2180.8299999999999</v>
      </c>
      <c r="AE14">
        <v>9.3699999999999992</v>
      </c>
      <c r="AF14">
        <v>92.090000000000003</v>
      </c>
      <c r="AG14">
        <v>238.21000000000001</v>
      </c>
      <c r="AH14">
        <v>1470.3399999999999</v>
      </c>
      <c r="AI14">
        <v>7033.6300000000001</v>
      </c>
      <c r="AJ14">
        <v>3527.1799999999998</v>
      </c>
      <c r="AK14">
        <v>0</v>
      </c>
      <c r="AL14">
        <v>285.41000000000003</v>
      </c>
      <c r="AM14">
        <v>2183.21</v>
      </c>
      <c r="AN14">
        <v>220.34999999999999</v>
      </c>
      <c r="AO14">
        <v>990.36000000000001</v>
      </c>
      <c r="AP14">
        <v>0</v>
      </c>
      <c r="AQ14" s="1">
        <v>2072.5999999999999</v>
      </c>
      <c r="AR14" s="1">
        <v>802.35000000000002</v>
      </c>
      <c r="AS14" s="1">
        <v>0</v>
      </c>
      <c r="AT14" s="1">
        <v>384.60000000000002</v>
      </c>
      <c r="AU14">
        <v>0</v>
      </c>
      <c r="AV14" s="1">
        <v>285.85000000000002</v>
      </c>
      <c r="AW14" s="1">
        <v>4844.21</v>
      </c>
      <c r="AX14" s="1">
        <v>1340.78</v>
      </c>
      <c r="AY14" s="1">
        <v>2732.1199999999999</v>
      </c>
      <c r="AZ14" s="1">
        <v>1772.8499999999999</v>
      </c>
      <c r="BA14" s="1">
        <v>9417.0499999999993</v>
      </c>
      <c r="BB14" s="1">
        <v>0</v>
      </c>
      <c r="BC14" s="1">
        <v>12103.68</v>
      </c>
      <c r="BD14" s="3">
        <v>11803</v>
      </c>
      <c r="BE14">
        <v>17</v>
      </c>
      <c r="BF14" s="1">
        <v>1403958.5800000001</v>
      </c>
      <c r="BG14">
        <v>125</v>
      </c>
      <c r="BH14" s="1">
        <v>14803.299999999999</v>
      </c>
      <c r="BI14" s="1">
        <v>648261.59999999998</v>
      </c>
      <c r="BJ14" s="3">
        <v>30750</v>
      </c>
      <c r="BK14" s="1">
        <v>213119.17000000001</v>
      </c>
      <c r="BL14" s="1">
        <v>112029.85000000001</v>
      </c>
      <c r="BM14" s="1">
        <v>42358.160000000003</v>
      </c>
      <c r="BN14" s="1">
        <v>99261.860000000001</v>
      </c>
      <c r="BO14" s="1">
        <v>51221.190000000002</v>
      </c>
      <c r="BP14">
        <v>1644</v>
      </c>
      <c r="BQ14">
        <v>865</v>
      </c>
      <c r="BR14">
        <v>3207</v>
      </c>
      <c r="BS14">
        <v>1001</v>
      </c>
      <c r="BT14">
        <v>306</v>
      </c>
      <c r="BU14" s="1">
        <v>89592.710000000021</v>
      </c>
      <c r="BV14" s="4">
        <v>0.15765791860325121</v>
      </c>
      <c r="BW14" s="1">
        <v>27366.48</v>
      </c>
      <c r="BX14" s="1">
        <v>63533.180000000008</v>
      </c>
      <c r="BY14" s="5">
        <v>0.11180049047568387</v>
      </c>
      <c r="BZ14" s="1">
        <v>17115.09</v>
      </c>
      <c r="CA14" s="5">
        <v>0.030117734647242149</v>
      </c>
      <c r="CB14" s="1">
        <v>5731.8000000000002</v>
      </c>
      <c r="CC14" s="1">
        <v>1412</v>
      </c>
      <c r="CD14" s="1">
        <v>1800.6399999999999</v>
      </c>
      <c r="CE14" s="1">
        <v>69894.989999999903</v>
      </c>
      <c r="CF14" s="1">
        <v>48.146472930610855</v>
      </c>
      <c r="CG14" s="17">
        <v>2.6052698466491568</v>
      </c>
      <c r="CH14" s="5">
        <v>0.69228524777940292</v>
      </c>
      <c r="CI14" s="5">
        <v>0.12299548304984903</v>
      </c>
      <c r="CJ14" s="18">
        <f t="shared" si="3"/>
        <v>42528.509999999907</v>
      </c>
      <c r="CK14" s="19">
        <f t="shared" si="4"/>
        <v>0.074838191275802893</v>
      </c>
    </row>
    <row r="15">
      <c r="A15" t="s">
        <v>94</v>
      </c>
      <c r="B15" s="16">
        <v>19418959000170</v>
      </c>
      <c r="C15" t="s">
        <v>101</v>
      </c>
      <c r="D15" t="s">
        <v>91</v>
      </c>
      <c r="E15" t="s">
        <v>92</v>
      </c>
      <c r="F15" t="s">
        <v>93</v>
      </c>
      <c r="G15" s="1">
        <v>522300.10999999999</v>
      </c>
      <c r="H15" s="1">
        <v>322759.26000000001</v>
      </c>
      <c r="I15" s="5">
        <f t="shared" si="0"/>
        <v>0.38193678628757172</v>
      </c>
      <c r="J15" s="1">
        <v>8986.4899999999998</v>
      </c>
      <c r="K15" s="1">
        <v>7031.8000000000002</v>
      </c>
      <c r="L15" s="1">
        <v>357206.5</v>
      </c>
      <c r="M15" s="1">
        <f t="shared" si="1"/>
        <v>165093.60999999999</v>
      </c>
      <c r="N15" s="5">
        <f t="shared" si="2"/>
        <v>0.31608955625148155</v>
      </c>
      <c r="O15" s="1">
        <v>3769.9499999999998</v>
      </c>
      <c r="P15" s="1">
        <v>398.25</v>
      </c>
      <c r="Q15">
        <v>0</v>
      </c>
      <c r="R15">
        <v>32232.060000000001</v>
      </c>
      <c r="S15">
        <v>15067.280000000001</v>
      </c>
      <c r="T15">
        <v>3318.6500000000001</v>
      </c>
      <c r="U15">
        <v>4965.7799999999997</v>
      </c>
      <c r="V15">
        <v>3989.04</v>
      </c>
      <c r="W15">
        <v>2929.6399999999999</v>
      </c>
      <c r="X15">
        <v>0</v>
      </c>
      <c r="Y15">
        <v>0</v>
      </c>
      <c r="Z15">
        <v>1714.22</v>
      </c>
      <c r="AA15">
        <v>385.08999999999997</v>
      </c>
      <c r="AB15">
        <v>59.310000000000002</v>
      </c>
      <c r="AC15">
        <v>1586.8099999999999</v>
      </c>
      <c r="AD15">
        <v>2144.21</v>
      </c>
      <c r="AE15">
        <v>9.3699999999999992</v>
      </c>
      <c r="AF15">
        <v>17.460000000000001</v>
      </c>
      <c r="AG15">
        <v>702.58000000000004</v>
      </c>
      <c r="AH15">
        <v>170.91</v>
      </c>
      <c r="AI15">
        <v>7033.6300000000001</v>
      </c>
      <c r="AJ15">
        <v>4307.6499999999996</v>
      </c>
      <c r="AK15">
        <v>0</v>
      </c>
      <c r="AL15">
        <v>402.81</v>
      </c>
      <c r="AM15">
        <v>3613.3000000000002</v>
      </c>
      <c r="AN15">
        <v>524.76999999999998</v>
      </c>
      <c r="AO15">
        <v>1334.4400000000001</v>
      </c>
      <c r="AP15">
        <v>0</v>
      </c>
      <c r="AQ15" s="1">
        <v>3803.1900000000001</v>
      </c>
      <c r="AR15" s="1">
        <v>770.88999999999999</v>
      </c>
      <c r="AS15" s="1">
        <v>0</v>
      </c>
      <c r="AT15" s="1">
        <v>828.80999999999995</v>
      </c>
      <c r="AU15">
        <v>0</v>
      </c>
      <c r="AV15" s="1">
        <v>267.50999999999999</v>
      </c>
      <c r="AW15" s="1">
        <v>4844.21</v>
      </c>
      <c r="AX15" s="1">
        <v>289.39999999999998</v>
      </c>
      <c r="AY15" s="1">
        <v>1612.4100000000001</v>
      </c>
      <c r="AZ15" s="1">
        <v>22098.73</v>
      </c>
      <c r="BA15" s="1">
        <v>5336.0600000000004</v>
      </c>
      <c r="BB15" s="1">
        <v>0</v>
      </c>
      <c r="BC15" s="1">
        <v>17585.119999999999</v>
      </c>
      <c r="BD15" s="3">
        <v>11488</v>
      </c>
      <c r="BE15">
        <v>18</v>
      </c>
      <c r="BF15" s="1">
        <v>1431451.1799999999</v>
      </c>
      <c r="BG15">
        <v>125</v>
      </c>
      <c r="BH15" s="1">
        <v>16240.280000000001</v>
      </c>
      <c r="BI15" s="1">
        <v>717261.81000000006</v>
      </c>
      <c r="BJ15" s="3">
        <v>30027</v>
      </c>
      <c r="BK15" s="1">
        <v>176598.79999999999</v>
      </c>
      <c r="BL15" s="1">
        <v>110778.03</v>
      </c>
      <c r="BM15" s="1">
        <v>42497.68</v>
      </c>
      <c r="BN15" s="1">
        <v>94563.089999999997</v>
      </c>
      <c r="BO15" s="1">
        <v>48488.129999999997</v>
      </c>
      <c r="BP15">
        <v>1724</v>
      </c>
      <c r="BQ15">
        <v>894</v>
      </c>
      <c r="BR15">
        <v>3522</v>
      </c>
      <c r="BS15">
        <v>1061</v>
      </c>
      <c r="BT15">
        <v>321</v>
      </c>
      <c r="BU15" s="1">
        <v>91083.090000000026</v>
      </c>
      <c r="BV15" s="4">
        <v>0.17438841818356121</v>
      </c>
      <c r="BW15" s="1">
        <v>46921.720000000001</v>
      </c>
      <c r="BX15" s="1">
        <v>62502.450000000004</v>
      </c>
      <c r="BY15" s="5">
        <v>0.11966769449847522</v>
      </c>
      <c r="BZ15" s="1">
        <v>21790.679999999997</v>
      </c>
      <c r="CA15" s="5">
        <v>0.041720611546491912</v>
      </c>
      <c r="CB15" s="1">
        <v>5899.0099999999993</v>
      </c>
      <c r="CC15" s="1">
        <v>0</v>
      </c>
      <c r="CD15" s="1">
        <v>890.95000000000005</v>
      </c>
      <c r="CE15" s="1">
        <v>58106.939999999995</v>
      </c>
      <c r="CF15" s="1">
        <v>45.464842444289694</v>
      </c>
      <c r="CG15" s="17">
        <v>2.6137708913649025</v>
      </c>
      <c r="CH15" s="5">
        <v>0.6839104437485185</v>
      </c>
      <c r="CI15" s="5">
        <v>0.11125201562756706</v>
      </c>
      <c r="CJ15" s="18">
        <f t="shared" si="3"/>
        <v>11185.219999999994</v>
      </c>
      <c r="CK15" s="19">
        <f t="shared" si="4"/>
        <v>0.021415312357487334</v>
      </c>
    </row>
    <row r="16">
      <c r="A16" t="s">
        <v>95</v>
      </c>
      <c r="B16" s="16">
        <v>19418959000170</v>
      </c>
      <c r="C16" t="s">
        <v>101</v>
      </c>
      <c r="D16" t="s">
        <v>91</v>
      </c>
      <c r="E16" t="s">
        <v>92</v>
      </c>
      <c r="F16" t="s">
        <v>93</v>
      </c>
      <c r="G16" s="1">
        <v>541534.21999999997</v>
      </c>
      <c r="H16" s="1">
        <v>351664.13</v>
      </c>
      <c r="I16" s="5">
        <f t="shared" si="0"/>
        <v>0.39371336724927897</v>
      </c>
      <c r="J16" s="1">
        <v>55000.269999999997</v>
      </c>
      <c r="K16" s="1">
        <v>5602.3100000000004</v>
      </c>
      <c r="L16" s="1">
        <v>373710.76000000001</v>
      </c>
      <c r="M16" s="1">
        <f t="shared" si="1"/>
        <v>167823.45999999996</v>
      </c>
      <c r="N16" s="5">
        <f t="shared" si="2"/>
        <v>0.30990370285371804</v>
      </c>
      <c r="O16" s="1">
        <v>4423.6999999999998</v>
      </c>
      <c r="P16" s="1">
        <v>984.07000000000005</v>
      </c>
      <c r="Q16">
        <v>0</v>
      </c>
      <c r="R16">
        <v>40850.059999999998</v>
      </c>
      <c r="S16">
        <v>15274.530000000001</v>
      </c>
      <c r="T16">
        <v>4538.4399999999996</v>
      </c>
      <c r="U16">
        <v>3635.0700000000002</v>
      </c>
      <c r="V16">
        <v>3795.75</v>
      </c>
      <c r="W16">
        <v>2890.2600000000002</v>
      </c>
      <c r="X16">
        <v>0</v>
      </c>
      <c r="Y16">
        <v>0</v>
      </c>
      <c r="Z16">
        <v>1714.22</v>
      </c>
      <c r="AA16">
        <v>385.08999999999997</v>
      </c>
      <c r="AB16">
        <v>0</v>
      </c>
      <c r="AC16">
        <v>1729.99</v>
      </c>
      <c r="AD16">
        <v>2150.73</v>
      </c>
      <c r="AE16">
        <v>9.3699999999999992</v>
      </c>
      <c r="AF16">
        <v>0</v>
      </c>
      <c r="AG16">
        <v>593.71000000000004</v>
      </c>
      <c r="AH16">
        <v>6613.6400000000003</v>
      </c>
      <c r="AI16">
        <v>7723.04</v>
      </c>
      <c r="AJ16">
        <v>2645.21</v>
      </c>
      <c r="AK16">
        <v>0</v>
      </c>
      <c r="AL16">
        <v>398.93000000000001</v>
      </c>
      <c r="AM16">
        <v>1088.53</v>
      </c>
      <c r="AN16">
        <v>318.30000000000001</v>
      </c>
      <c r="AO16">
        <v>8653.5</v>
      </c>
      <c r="AP16">
        <v>0</v>
      </c>
      <c r="AQ16" s="1">
        <v>4030.3099999999999</v>
      </c>
      <c r="AR16" s="1">
        <v>277.48000000000002</v>
      </c>
      <c r="AS16" s="1">
        <v>0</v>
      </c>
      <c r="AT16" s="1">
        <v>666.27999999999997</v>
      </c>
      <c r="AU16">
        <v>0</v>
      </c>
      <c r="AV16" s="1">
        <v>273.06</v>
      </c>
      <c r="AW16" s="1">
        <v>4172.75</v>
      </c>
      <c r="AX16" s="1">
        <v>1111</v>
      </c>
      <c r="AY16" s="1">
        <v>0</v>
      </c>
      <c r="AZ16" s="1">
        <v>280.91000000000003</v>
      </c>
      <c r="BA16" s="1">
        <v>0</v>
      </c>
      <c r="BB16" s="1">
        <v>0</v>
      </c>
      <c r="BC16" s="1">
        <v>0</v>
      </c>
      <c r="BD16" s="3">
        <v>12037</v>
      </c>
      <c r="BE16">
        <v>18</v>
      </c>
      <c r="BF16" s="1">
        <v>1511589.3899999999</v>
      </c>
      <c r="BG16">
        <v>125</v>
      </c>
      <c r="BH16" s="1">
        <v>15298.780000000001</v>
      </c>
      <c r="BI16" s="1">
        <v>652609.12</v>
      </c>
      <c r="BJ16" s="3">
        <v>30582</v>
      </c>
      <c r="BK16" s="1">
        <v>179221.62</v>
      </c>
      <c r="BL16" s="1">
        <v>117532.2</v>
      </c>
      <c r="BM16" s="1">
        <v>41200.800000000003</v>
      </c>
      <c r="BN16" s="1">
        <v>98141.830000000002</v>
      </c>
      <c r="BO16" s="1">
        <v>51600.459999999999</v>
      </c>
      <c r="BP16">
        <v>1744</v>
      </c>
      <c r="BQ16">
        <v>882</v>
      </c>
      <c r="BR16">
        <v>3256</v>
      </c>
      <c r="BS16">
        <v>1030</v>
      </c>
      <c r="BT16">
        <v>315</v>
      </c>
      <c r="BU16" s="1">
        <v>109316.15999999999</v>
      </c>
      <c r="BV16" s="4">
        <v>0.20186380834806708</v>
      </c>
      <c r="BW16" s="1">
        <v>1391.9100000000001</v>
      </c>
      <c r="BX16" s="1">
        <v>70984.110000000001</v>
      </c>
      <c r="BY16" s="5">
        <v>0.13107963888228524</v>
      </c>
      <c r="BZ16" s="1">
        <v>25135.300000000003</v>
      </c>
      <c r="CA16" s="5">
        <v>0.046414980017329292</v>
      </c>
      <c r="CB16" s="1">
        <v>5989.4000000000005</v>
      </c>
      <c r="CC16" s="1">
        <v>0</v>
      </c>
      <c r="CD16" s="1">
        <v>7207.3500000000004</v>
      </c>
      <c r="CE16" s="1">
        <v>-3723.5200000000586</v>
      </c>
      <c r="CF16" s="1">
        <v>44.989135166569739</v>
      </c>
      <c r="CG16" s="17">
        <v>2.5406662789731662</v>
      </c>
      <c r="CH16" s="5">
        <v>0.69009629714628196</v>
      </c>
      <c r="CI16" s="5">
        <v>-0.0068758720363046658</v>
      </c>
      <c r="CJ16" s="18">
        <f t="shared" si="3"/>
        <v>-5115.4300000000585</v>
      </c>
      <c r="CK16" s="19">
        <f t="shared" si="4"/>
        <v>-0.0094461805202265131</v>
      </c>
    </row>
    <row r="17">
      <c r="A17" t="s">
        <v>96</v>
      </c>
      <c r="B17" s="16">
        <v>19418959000170</v>
      </c>
      <c r="C17" t="s">
        <v>101</v>
      </c>
      <c r="D17" t="s">
        <v>91</v>
      </c>
      <c r="E17" t="s">
        <v>92</v>
      </c>
      <c r="F17" t="s">
        <v>93</v>
      </c>
      <c r="G17" s="1">
        <v>540207.77000000002</v>
      </c>
      <c r="H17" s="1">
        <v>340671.29999999999</v>
      </c>
      <c r="I17" s="5">
        <f t="shared" si="0"/>
        <v>0.3867401458409041</v>
      </c>
      <c r="J17" s="1">
        <v>6967.8100000000004</v>
      </c>
      <c r="K17" s="1">
        <v>5140.54</v>
      </c>
      <c r="L17" s="1">
        <v>375329.46000000002</v>
      </c>
      <c r="M17" s="1">
        <f t="shared" si="1"/>
        <v>164878.31</v>
      </c>
      <c r="N17" s="5">
        <f t="shared" si="2"/>
        <v>0.30521277026430033</v>
      </c>
      <c r="O17" s="1">
        <v>4029.1900000000001</v>
      </c>
      <c r="P17" s="1">
        <v>707.49000000000001</v>
      </c>
      <c r="Q17">
        <v>0</v>
      </c>
      <c r="R17">
        <v>39399.699999999997</v>
      </c>
      <c r="S17">
        <v>15193.370000000001</v>
      </c>
      <c r="T17">
        <v>4377.3100000000004</v>
      </c>
      <c r="U17">
        <v>5467.2799999999997</v>
      </c>
      <c r="V17">
        <v>3498.9699999999998</v>
      </c>
      <c r="W17">
        <v>4138.6700000000001</v>
      </c>
      <c r="X17">
        <v>0</v>
      </c>
      <c r="Y17">
        <v>0</v>
      </c>
      <c r="Z17">
        <v>1714.22</v>
      </c>
      <c r="AA17">
        <v>385.08999999999997</v>
      </c>
      <c r="AB17">
        <v>35.310000000000002</v>
      </c>
      <c r="AC17">
        <v>1589.9200000000001</v>
      </c>
      <c r="AD17">
        <v>2299.8499999999999</v>
      </c>
      <c r="AE17">
        <v>9.3699999999999992</v>
      </c>
      <c r="AF17">
        <v>0</v>
      </c>
      <c r="AG17">
        <v>344.29000000000002</v>
      </c>
      <c r="AH17">
        <v>7401.8500000000004</v>
      </c>
      <c r="AI17">
        <v>7981.6899999999996</v>
      </c>
      <c r="AJ17">
        <v>1762.9400000000001</v>
      </c>
      <c r="AK17">
        <v>0</v>
      </c>
      <c r="AL17">
        <v>425.81</v>
      </c>
      <c r="AM17">
        <v>1553.21</v>
      </c>
      <c r="AN17">
        <v>942.39999999999998</v>
      </c>
      <c r="AO17">
        <v>676.30999999999995</v>
      </c>
      <c r="AP17">
        <v>0</v>
      </c>
      <c r="AQ17" s="1">
        <v>3678.1900000000001</v>
      </c>
      <c r="AR17" s="1">
        <v>1669.49</v>
      </c>
      <c r="AS17" s="1">
        <v>0</v>
      </c>
      <c r="AT17" s="1">
        <v>726.13999999999999</v>
      </c>
      <c r="AU17">
        <v>0</v>
      </c>
      <c r="AV17" s="1">
        <v>284.51999999999998</v>
      </c>
      <c r="AW17" s="1">
        <v>5235.5100000000002</v>
      </c>
      <c r="AX17" s="1">
        <v>698.99000000000001</v>
      </c>
      <c r="AY17" s="1">
        <v>3251.2600000000002</v>
      </c>
      <c r="AZ17" s="1">
        <v>624.27999999999997</v>
      </c>
      <c r="BA17" s="1">
        <v>0</v>
      </c>
      <c r="BB17" s="1">
        <v>0</v>
      </c>
      <c r="BC17" s="1">
        <v>0</v>
      </c>
      <c r="BD17" s="3">
        <v>11971</v>
      </c>
      <c r="BE17">
        <v>19</v>
      </c>
      <c r="BF17" s="1">
        <v>1449279.22</v>
      </c>
      <c r="BG17">
        <v>125</v>
      </c>
      <c r="BH17" s="1">
        <v>21019.16</v>
      </c>
      <c r="BI17" s="1">
        <v>653162.5</v>
      </c>
      <c r="BJ17" s="3">
        <v>30108</v>
      </c>
      <c r="BK17" s="1">
        <v>182545.29000000001</v>
      </c>
      <c r="BL17" s="1">
        <v>112815.46000000001</v>
      </c>
      <c r="BM17" s="1">
        <v>40427.970000000001</v>
      </c>
      <c r="BN17" s="1">
        <v>101317.77</v>
      </c>
      <c r="BO17" s="1">
        <v>48502.75</v>
      </c>
      <c r="BP17">
        <v>1757</v>
      </c>
      <c r="BQ17">
        <v>850</v>
      </c>
      <c r="BR17">
        <v>3352</v>
      </c>
      <c r="BS17">
        <v>983</v>
      </c>
      <c r="BT17">
        <v>306</v>
      </c>
      <c r="BU17" s="1">
        <v>104545.23999999999</v>
      </c>
      <c r="BV17" s="4">
        <v>0.19352783466998261</v>
      </c>
      <c r="BW17" s="1">
        <v>4574.5299999999997</v>
      </c>
      <c r="BX17" s="1">
        <v>72075.299999999988</v>
      </c>
      <c r="BY17" s="5">
        <v>0.13342144264233738</v>
      </c>
      <c r="BZ17" s="1">
        <v>18690.039999999997</v>
      </c>
      <c r="CA17" s="5">
        <v>0.034597873333069601</v>
      </c>
      <c r="CB17" s="1">
        <v>6033.7599999999993</v>
      </c>
      <c r="CC17" s="1">
        <v>0</v>
      </c>
      <c r="CD17" s="1">
        <v>7746.1400000000003</v>
      </c>
      <c r="CE17" s="1">
        <v>48281.929999999935</v>
      </c>
      <c r="CF17" s="1">
        <v>45.126369559769444</v>
      </c>
      <c r="CG17" s="17">
        <v>2.5150781054214351</v>
      </c>
      <c r="CH17" s="5">
        <v>0.69478722973569962</v>
      </c>
      <c r="CI17" s="5">
        <v>0.089376593009759808</v>
      </c>
      <c r="CJ17" s="18">
        <f t="shared" si="3"/>
        <v>43707.399999999936</v>
      </c>
      <c r="CK17" s="19">
        <f t="shared" si="4"/>
        <v>0.080908499335357459</v>
      </c>
    </row>
    <row r="18">
      <c r="A18" t="s">
        <v>97</v>
      </c>
      <c r="B18" s="16">
        <v>19418959000170</v>
      </c>
      <c r="C18" t="s">
        <v>101</v>
      </c>
      <c r="D18" t="s">
        <v>91</v>
      </c>
      <c r="E18" t="s">
        <v>92</v>
      </c>
      <c r="F18" t="s">
        <v>93</v>
      </c>
      <c r="G18" s="1">
        <v>508140.84999999998</v>
      </c>
      <c r="H18" s="1">
        <v>315713.32000000001</v>
      </c>
      <c r="I18" s="5">
        <f t="shared" si="0"/>
        <v>0.38321505370301157</v>
      </c>
      <c r="J18" s="1">
        <v>8741.5499999999993</v>
      </c>
      <c r="K18" s="1">
        <v>7191.1899999999996</v>
      </c>
      <c r="L18" s="1">
        <v>344809.60999999999</v>
      </c>
      <c r="M18" s="1">
        <f t="shared" si="1"/>
        <v>163331.23999999999</v>
      </c>
      <c r="N18" s="5">
        <f t="shared" si="2"/>
        <v>0.32142906833804052</v>
      </c>
      <c r="O18" s="1">
        <v>6106.9300000000003</v>
      </c>
      <c r="P18" s="1">
        <v>607.35000000000002</v>
      </c>
      <c r="Q18">
        <v>0</v>
      </c>
      <c r="R18">
        <v>38639.389999999999</v>
      </c>
      <c r="S18">
        <v>16555.290000000001</v>
      </c>
      <c r="T18">
        <v>4292.8400000000001</v>
      </c>
      <c r="U18">
        <v>4009.5</v>
      </c>
      <c r="V18">
        <v>3866.5599999999999</v>
      </c>
      <c r="W18">
        <v>5111.71</v>
      </c>
      <c r="X18">
        <v>0</v>
      </c>
      <c r="Y18">
        <v>0</v>
      </c>
      <c r="Z18">
        <v>1624</v>
      </c>
      <c r="AA18">
        <v>385.08999999999997</v>
      </c>
      <c r="AB18">
        <v>0</v>
      </c>
      <c r="AC18">
        <v>1586.8099999999999</v>
      </c>
      <c r="AD18">
        <v>2082.4899999999998</v>
      </c>
      <c r="AE18">
        <v>9.3699999999999992</v>
      </c>
      <c r="AF18">
        <v>0</v>
      </c>
      <c r="AG18">
        <v>423.25</v>
      </c>
      <c r="AH18">
        <v>6831.8199999999997</v>
      </c>
      <c r="AI18">
        <v>7624.4799999999996</v>
      </c>
      <c r="AJ18">
        <v>2704.8200000000002</v>
      </c>
      <c r="AK18">
        <v>0</v>
      </c>
      <c r="AL18">
        <v>288.38</v>
      </c>
      <c r="AM18">
        <v>0</v>
      </c>
      <c r="AN18">
        <v>171.18000000000001</v>
      </c>
      <c r="AO18">
        <v>239.94999999999999</v>
      </c>
      <c r="AP18">
        <v>110</v>
      </c>
      <c r="AQ18" s="1">
        <v>2285.2199999999998</v>
      </c>
      <c r="AR18" s="1">
        <v>1083.3199999999999</v>
      </c>
      <c r="AS18" s="1">
        <v>0</v>
      </c>
      <c r="AT18" s="1">
        <v>802.47000000000003</v>
      </c>
      <c r="AU18">
        <v>0</v>
      </c>
      <c r="AV18" s="1">
        <v>272.80000000000001</v>
      </c>
      <c r="AW18" s="1">
        <v>2994.8600000000001</v>
      </c>
      <c r="AX18" s="1">
        <v>938.40999999999997</v>
      </c>
      <c r="AY18" s="1">
        <v>0</v>
      </c>
      <c r="AZ18" s="1">
        <v>274.43000000000001</v>
      </c>
      <c r="BA18" s="1">
        <v>0</v>
      </c>
      <c r="BB18" s="1">
        <v>0</v>
      </c>
      <c r="BC18" s="1">
        <v>0</v>
      </c>
      <c r="BD18" s="3">
        <v>11397</v>
      </c>
      <c r="BE18">
        <v>18</v>
      </c>
      <c r="BF18" s="1">
        <v>1512269.23</v>
      </c>
      <c r="BG18">
        <v>125</v>
      </c>
      <c r="BH18" s="1">
        <v>22327.93</v>
      </c>
      <c r="BI18" s="1">
        <v>670396.81999999995</v>
      </c>
      <c r="BJ18" s="3">
        <v>28020</v>
      </c>
      <c r="BK18" s="1">
        <v>172344.72</v>
      </c>
      <c r="BL18" s="1">
        <v>106727.85000000001</v>
      </c>
      <c r="BM18" s="1">
        <v>34526.650000000001</v>
      </c>
      <c r="BN18" s="1">
        <v>100844.13</v>
      </c>
      <c r="BO18" s="1">
        <v>48420.309999999998</v>
      </c>
      <c r="BP18">
        <v>1721</v>
      </c>
      <c r="BQ18">
        <v>840</v>
      </c>
      <c r="BR18">
        <v>3263</v>
      </c>
      <c r="BS18">
        <v>1015</v>
      </c>
      <c r="BT18">
        <v>307</v>
      </c>
      <c r="BU18" s="1">
        <v>99925.470000000001</v>
      </c>
      <c r="BV18" s="4">
        <v>0.19664915741373679</v>
      </c>
      <c r="BW18" s="1">
        <v>1212.8399999999999</v>
      </c>
      <c r="BX18" s="1">
        <v>72475.290000000008</v>
      </c>
      <c r="BY18" s="5">
        <v>0.14262834802594598</v>
      </c>
      <c r="BZ18" s="1">
        <v>14507.349999999999</v>
      </c>
      <c r="CA18" s="5">
        <v>0.02854985974853232</v>
      </c>
      <c r="CB18" s="1">
        <v>5687.7599999999993</v>
      </c>
      <c r="CC18" s="1">
        <v>0</v>
      </c>
      <c r="CD18" s="1">
        <v>7255.0699999999997</v>
      </c>
      <c r="CE18" s="1">
        <v>43223.94000000001</v>
      </c>
      <c r="CF18" s="1">
        <v>44.585491796086686</v>
      </c>
      <c r="CG18" s="17">
        <v>2.4585417215056595</v>
      </c>
      <c r="CH18" s="5">
        <v>0.67857093166195948</v>
      </c>
      <c r="CI18" s="5">
        <v>0.085062911198735575</v>
      </c>
      <c r="CJ18" s="18">
        <f t="shared" si="3"/>
        <v>42011.100000000013</v>
      </c>
      <c r="CK18" s="19">
        <f t="shared" si="4"/>
        <v>0.082676092662103462</v>
      </c>
    </row>
    <row r="19">
      <c r="A19" t="s">
        <v>98</v>
      </c>
      <c r="B19" s="16">
        <v>19418959000170</v>
      </c>
      <c r="C19" t="s">
        <v>101</v>
      </c>
      <c r="D19" t="s">
        <v>91</v>
      </c>
      <c r="E19" t="s">
        <v>92</v>
      </c>
      <c r="F19" t="s">
        <v>93</v>
      </c>
      <c r="G19" s="1">
        <v>539571.76000000001</v>
      </c>
      <c r="H19" s="1">
        <v>345280.31</v>
      </c>
      <c r="I19" s="5">
        <f t="shared" si="0"/>
        <v>0.39021246794393549</v>
      </c>
      <c r="J19" s="1">
        <v>50668.489999999998</v>
      </c>
      <c r="K19" s="1">
        <v>4923.7700000000004</v>
      </c>
      <c r="L19" s="1">
        <v>365827.60999999999</v>
      </c>
      <c r="M19" s="1">
        <f t="shared" si="1"/>
        <v>173744.15000000002</v>
      </c>
      <c r="N19" s="5">
        <f t="shared" si="2"/>
        <v>0.32200378685496811</v>
      </c>
      <c r="O19" s="1">
        <v>4202.4799999999996</v>
      </c>
      <c r="P19" s="1">
        <v>918.11000000000001</v>
      </c>
      <c r="Q19">
        <v>0</v>
      </c>
      <c r="R19">
        <v>44874.480000000003</v>
      </c>
      <c r="S19">
        <v>14266.389999999999</v>
      </c>
      <c r="T19">
        <v>4985.5500000000002</v>
      </c>
      <c r="U19">
        <v>3848.9400000000001</v>
      </c>
      <c r="V19">
        <v>3957.1599999999999</v>
      </c>
      <c r="W19">
        <v>2784.8699999999999</v>
      </c>
      <c r="X19">
        <v>0</v>
      </c>
      <c r="Y19">
        <v>0</v>
      </c>
      <c r="Z19">
        <v>1714.22</v>
      </c>
      <c r="AA19">
        <v>385.08999999999997</v>
      </c>
      <c r="AB19">
        <v>106.89</v>
      </c>
      <c r="AC19">
        <v>1586.8099999999999</v>
      </c>
      <c r="AD19">
        <v>2554.5900000000001</v>
      </c>
      <c r="AE19">
        <v>9.3699999999999992</v>
      </c>
      <c r="AF19">
        <v>352.27999999999997</v>
      </c>
      <c r="AG19">
        <v>656.26999999999998</v>
      </c>
      <c r="AH19">
        <v>6631.8199999999997</v>
      </c>
      <c r="AI19">
        <v>7624.4799999999996</v>
      </c>
      <c r="AJ19">
        <v>4370.1099999999997</v>
      </c>
      <c r="AK19">
        <v>0</v>
      </c>
      <c r="AL19">
        <v>576.94000000000005</v>
      </c>
      <c r="AM19">
        <v>1596.03</v>
      </c>
      <c r="AN19">
        <v>427.58999999999997</v>
      </c>
      <c r="AO19">
        <v>677.45000000000005</v>
      </c>
      <c r="AP19">
        <v>0</v>
      </c>
      <c r="AQ19" s="1">
        <v>2151.04</v>
      </c>
      <c r="AR19" s="1">
        <v>548.22000000000003</v>
      </c>
      <c r="AS19" s="1">
        <v>66.719999999999999</v>
      </c>
      <c r="AT19" s="1">
        <v>778.01999999999998</v>
      </c>
      <c r="AU19">
        <v>0</v>
      </c>
      <c r="AV19" s="1">
        <v>296.54000000000002</v>
      </c>
      <c r="AW19" s="1">
        <v>0</v>
      </c>
      <c r="AX19" s="1">
        <v>1361.3499999999999</v>
      </c>
      <c r="AY19" s="1">
        <v>0</v>
      </c>
      <c r="AZ19" s="1">
        <v>274.43000000000001</v>
      </c>
      <c r="BA19" s="1">
        <v>0</v>
      </c>
      <c r="BB19" s="1">
        <v>0</v>
      </c>
      <c r="BC19" s="1">
        <v>0</v>
      </c>
      <c r="BD19" s="3">
        <v>11716</v>
      </c>
      <c r="BE19">
        <v>19</v>
      </c>
      <c r="BF19" s="1">
        <v>1397206</v>
      </c>
      <c r="BG19">
        <v>125</v>
      </c>
      <c r="BH19" s="1">
        <v>29831.27</v>
      </c>
      <c r="BI19" s="1">
        <v>667660.47999999998</v>
      </c>
      <c r="BJ19" s="3">
        <v>29804</v>
      </c>
      <c r="BK19" s="1">
        <v>178395.01000000001</v>
      </c>
      <c r="BL19" s="1">
        <v>117559.82000000001</v>
      </c>
      <c r="BM19" s="1">
        <v>38080.870000000003</v>
      </c>
      <c r="BN19" s="1">
        <v>101328.50999999999</v>
      </c>
      <c r="BO19" s="1">
        <v>52070.110000000001</v>
      </c>
      <c r="BP19">
        <v>1752</v>
      </c>
      <c r="BQ19">
        <v>890</v>
      </c>
      <c r="BR19">
        <v>3248</v>
      </c>
      <c r="BS19">
        <v>1044</v>
      </c>
      <c r="BT19">
        <v>303</v>
      </c>
      <c r="BU19" s="1">
        <v>106686.58999999997</v>
      </c>
      <c r="BV19" s="4">
        <v>0.19772456216018416</v>
      </c>
      <c r="BW19" s="1">
        <v>1635.78</v>
      </c>
      <c r="BX19" s="1">
        <v>74717.389999999999</v>
      </c>
      <c r="BY19" s="5">
        <v>0.1384753531207786</v>
      </c>
      <c r="BZ19" s="1">
        <v>17971.860000000004</v>
      </c>
      <c r="CA19" s="5">
        <v>0.033307636411512721</v>
      </c>
      <c r="CB19" s="1">
        <v>6356.9700000000003</v>
      </c>
      <c r="CC19" s="1">
        <v>0</v>
      </c>
      <c r="CD19" s="1">
        <v>7640.3699999999999</v>
      </c>
      <c r="CE19" s="1">
        <v>5796.5100000000011</v>
      </c>
      <c r="CF19" s="1">
        <v>46.054264254011606</v>
      </c>
      <c r="CG19" s="17">
        <v>2.5438716285421648</v>
      </c>
      <c r="CH19" s="5">
        <v>0.67799621314503189</v>
      </c>
      <c r="CI19" s="5">
        <v>0.01074279721384974</v>
      </c>
      <c r="CJ19" s="18">
        <f t="shared" si="3"/>
        <v>4160.7300000000014</v>
      </c>
      <c r="CK19" s="19">
        <f t="shared" si="4"/>
        <v>0.0077111707995985582</v>
      </c>
    </row>
    <row r="20">
      <c r="A20" t="s">
        <v>89</v>
      </c>
      <c r="B20" s="16">
        <v>22082397000140</v>
      </c>
      <c r="C20" t="s">
        <v>102</v>
      </c>
      <c r="D20" t="s">
        <v>91</v>
      </c>
      <c r="E20" t="s">
        <v>92</v>
      </c>
      <c r="F20" t="s">
        <v>93</v>
      </c>
      <c r="G20" s="1">
        <v>1053516.49</v>
      </c>
      <c r="H20" s="1">
        <v>486032.85999999999</v>
      </c>
      <c r="I20" s="5">
        <f t="shared" si="0"/>
        <v>0.31569813595127688</v>
      </c>
      <c r="J20" s="1">
        <v>8086.9300000000003</v>
      </c>
      <c r="K20" s="1">
        <v>16229.559999999999</v>
      </c>
      <c r="L20" s="1">
        <v>735826.62</v>
      </c>
      <c r="M20" s="1">
        <f t="shared" si="1"/>
        <v>317689.87</v>
      </c>
      <c r="N20" s="5">
        <f t="shared" si="2"/>
        <v>0.30155187224454361</v>
      </c>
      <c r="O20" s="1">
        <v>11989.5</v>
      </c>
      <c r="P20" s="1">
        <v>4176.3400000000001</v>
      </c>
      <c r="Q20">
        <v>0</v>
      </c>
      <c r="R20">
        <v>62086.540000000001</v>
      </c>
      <c r="S20">
        <v>24065.98</v>
      </c>
      <c r="T20">
        <v>5816.7600000000002</v>
      </c>
      <c r="U20">
        <v>10805.129999999999</v>
      </c>
      <c r="V20">
        <v>5634.4799999999996</v>
      </c>
      <c r="W20">
        <v>4597.2299999999996</v>
      </c>
      <c r="X20">
        <v>1412</v>
      </c>
      <c r="Y20">
        <v>0</v>
      </c>
      <c r="Z20">
        <v>2594.0599999999999</v>
      </c>
      <c r="AA20">
        <v>217</v>
      </c>
      <c r="AB20">
        <v>156.44</v>
      </c>
      <c r="AC20">
        <v>1586.8099999999999</v>
      </c>
      <c r="AD20">
        <v>3092.2399999999998</v>
      </c>
      <c r="AE20">
        <v>9.3699999999999992</v>
      </c>
      <c r="AF20">
        <v>711.41999999999996</v>
      </c>
      <c r="AG20">
        <v>958.61000000000001</v>
      </c>
      <c r="AH20">
        <v>2338.54</v>
      </c>
      <c r="AI20">
        <v>25558.560000000001</v>
      </c>
      <c r="AJ20">
        <v>9024.9899999999998</v>
      </c>
      <c r="AK20">
        <v>0</v>
      </c>
      <c r="AL20">
        <v>954</v>
      </c>
      <c r="AM20">
        <v>7649.5299999999997</v>
      </c>
      <c r="AN20">
        <v>2870.21</v>
      </c>
      <c r="AO20">
        <v>3482.8800000000001</v>
      </c>
      <c r="AP20">
        <v>54.079999999999998</v>
      </c>
      <c r="AQ20" s="1">
        <v>10386.530000000001</v>
      </c>
      <c r="AR20" s="1">
        <v>3101.4200000000001</v>
      </c>
      <c r="AS20" s="1">
        <v>0</v>
      </c>
      <c r="AT20" s="1">
        <v>530.46000000000004</v>
      </c>
      <c r="AU20">
        <v>0</v>
      </c>
      <c r="AV20" s="1">
        <v>37.759999999999998</v>
      </c>
      <c r="AW20" s="1">
        <v>9131.9099999999999</v>
      </c>
      <c r="AX20" s="1">
        <v>2151.21</v>
      </c>
      <c r="AY20" s="1">
        <v>0</v>
      </c>
      <c r="AZ20" s="1">
        <v>4088.7199999999998</v>
      </c>
      <c r="BA20" s="1">
        <v>1478.8900000000001</v>
      </c>
      <c r="BB20" s="1">
        <v>1935.99</v>
      </c>
      <c r="BC20" s="1">
        <v>5227.21</v>
      </c>
      <c r="BD20" s="3">
        <v>14855</v>
      </c>
      <c r="BE20">
        <v>30</v>
      </c>
      <c r="BF20" s="1">
        <v>3120577.46</v>
      </c>
      <c r="BG20">
        <v>188</v>
      </c>
      <c r="BH20" s="1">
        <v>0</v>
      </c>
      <c r="BI20" s="1">
        <v>1655501.1000000001</v>
      </c>
      <c r="BJ20" s="3">
        <v>46434</v>
      </c>
      <c r="BK20" s="1">
        <v>367294.46000000002</v>
      </c>
      <c r="BL20" s="1">
        <v>163300.12</v>
      </c>
      <c r="BM20" s="1">
        <v>62724.309999999998</v>
      </c>
      <c r="BN20" s="1">
        <v>248148.26999999999</v>
      </c>
      <c r="BO20" s="1">
        <v>135620.17999999999</v>
      </c>
      <c r="BP20">
        <v>2851</v>
      </c>
      <c r="BQ20">
        <v>978</v>
      </c>
      <c r="BR20">
        <v>5660</v>
      </c>
      <c r="BS20">
        <v>2002</v>
      </c>
      <c r="BT20">
        <v>362</v>
      </c>
      <c r="BU20" s="1">
        <v>189164.80999999997</v>
      </c>
      <c r="BV20" s="4">
        <v>0.17955562328217564</v>
      </c>
      <c r="BW20" s="1">
        <v>14882.02</v>
      </c>
      <c r="BX20" s="1">
        <v>113006.12</v>
      </c>
      <c r="BY20" s="5">
        <v>0.10726563947755578</v>
      </c>
      <c r="BZ20" s="1">
        <v>63082.199999999997</v>
      </c>
      <c r="CA20" s="5">
        <v>0.059877752838970746</v>
      </c>
      <c r="CB20" s="1">
        <v>7655.9199999999992</v>
      </c>
      <c r="CC20" s="1">
        <v>1412</v>
      </c>
      <c r="CD20" s="1">
        <v>4008.5699999999997</v>
      </c>
      <c r="CE20" s="1">
        <v>96681.939999999784</v>
      </c>
      <c r="CF20" s="1">
        <v>70.91999259508583</v>
      </c>
      <c r="CG20" s="17">
        <v>3.1258162234937732</v>
      </c>
      <c r="CH20" s="5">
        <v>0.69844812775545639</v>
      </c>
      <c r="CI20" s="5">
        <v>0.091770694543186301</v>
      </c>
      <c r="CJ20" s="18">
        <f t="shared" si="3"/>
        <v>81799.91999999978</v>
      </c>
      <c r="CK20" s="19">
        <f t="shared" si="4"/>
        <v>0.077644650820795205</v>
      </c>
    </row>
    <row r="21">
      <c r="A21" t="s">
        <v>94</v>
      </c>
      <c r="B21" s="16">
        <v>22082397000140</v>
      </c>
      <c r="C21" t="s">
        <v>102</v>
      </c>
      <c r="D21" t="s">
        <v>91</v>
      </c>
      <c r="E21" t="s">
        <v>92</v>
      </c>
      <c r="F21" t="s">
        <v>93</v>
      </c>
      <c r="G21" s="1">
        <v>1013373.45</v>
      </c>
      <c r="H21" s="1">
        <v>482748.79999999999</v>
      </c>
      <c r="I21" s="5">
        <f t="shared" si="0"/>
        <v>0.32266668048015462</v>
      </c>
      <c r="J21" s="1">
        <v>8526.0599999999995</v>
      </c>
      <c r="K21" s="1">
        <v>22711.509999999998</v>
      </c>
      <c r="L21" s="1">
        <v>704919.06000000006</v>
      </c>
      <c r="M21" s="1">
        <f t="shared" si="1"/>
        <v>308454.3899999999</v>
      </c>
      <c r="N21" s="5">
        <f t="shared" si="2"/>
        <v>0.30438372941386999</v>
      </c>
      <c r="O21" s="1">
        <v>10813.1</v>
      </c>
      <c r="P21" s="1">
        <v>4479.0900000000001</v>
      </c>
      <c r="Q21">
        <v>0</v>
      </c>
      <c r="R21">
        <v>53348.68</v>
      </c>
      <c r="S21">
        <v>28045.18</v>
      </c>
      <c r="T21">
        <v>5550.0799999999999</v>
      </c>
      <c r="U21">
        <v>12274.809999999999</v>
      </c>
      <c r="V21">
        <v>6805</v>
      </c>
      <c r="W21">
        <v>4525.5</v>
      </c>
      <c r="X21">
        <v>0</v>
      </c>
      <c r="Y21">
        <v>0</v>
      </c>
      <c r="Z21">
        <v>2473.2199999999998</v>
      </c>
      <c r="AA21">
        <v>385.08999999999997</v>
      </c>
      <c r="AB21">
        <v>59.289999999999999</v>
      </c>
      <c r="AC21">
        <v>1640.1600000000001</v>
      </c>
      <c r="AD21">
        <v>3055.5900000000001</v>
      </c>
      <c r="AE21">
        <v>9.4100000000000001</v>
      </c>
      <c r="AF21">
        <v>680.48000000000002</v>
      </c>
      <c r="AG21">
        <v>5689.8699999999999</v>
      </c>
      <c r="AH21">
        <v>665.77999999999997</v>
      </c>
      <c r="AI21">
        <v>25342.759999999998</v>
      </c>
      <c r="AJ21">
        <v>6951.8800000000001</v>
      </c>
      <c r="AK21">
        <v>0</v>
      </c>
      <c r="AL21">
        <v>825.41999999999996</v>
      </c>
      <c r="AM21">
        <v>11132.549999999999</v>
      </c>
      <c r="AN21">
        <v>1035.3299999999999</v>
      </c>
      <c r="AO21">
        <v>1505.4000000000001</v>
      </c>
      <c r="AP21">
        <v>1858.5899999999999</v>
      </c>
      <c r="AQ21" s="1">
        <v>4291.5</v>
      </c>
      <c r="AR21" s="1">
        <v>17523.509999999998</v>
      </c>
      <c r="AS21" s="1">
        <v>175.06</v>
      </c>
      <c r="AT21" s="1">
        <v>567.54999999999995</v>
      </c>
      <c r="AU21">
        <v>0</v>
      </c>
      <c r="AV21" s="1">
        <v>42.280000000000001</v>
      </c>
      <c r="AW21" s="1">
        <v>9131.9099999999999</v>
      </c>
      <c r="AX21" s="1">
        <v>5279.71</v>
      </c>
      <c r="AY21" s="1">
        <v>3182.8800000000001</v>
      </c>
      <c r="AZ21" s="1">
        <v>6844.4899999999998</v>
      </c>
      <c r="BA21" s="1">
        <v>0</v>
      </c>
      <c r="BB21" s="1">
        <v>240.05000000000001</v>
      </c>
      <c r="BC21" s="1">
        <v>5774.7600000000002</v>
      </c>
      <c r="BD21" s="3">
        <v>14706</v>
      </c>
      <c r="BE21">
        <v>31</v>
      </c>
      <c r="BF21" s="1">
        <v>3168820.3900000001</v>
      </c>
      <c r="BG21">
        <v>188</v>
      </c>
      <c r="BH21" s="1">
        <v>224.41</v>
      </c>
      <c r="BI21" s="1">
        <v>1686275.8500000001</v>
      </c>
      <c r="BJ21" s="3">
        <v>46004</v>
      </c>
      <c r="BK21" s="1">
        <v>339529.28000000003</v>
      </c>
      <c r="BL21" s="1">
        <v>154944.35000000001</v>
      </c>
      <c r="BM21" s="1">
        <v>70506.529999999999</v>
      </c>
      <c r="BN21" s="1">
        <v>233955.88</v>
      </c>
      <c r="BO21" s="1">
        <v>139717.5</v>
      </c>
      <c r="BP21">
        <v>2826</v>
      </c>
      <c r="BQ21">
        <v>1021</v>
      </c>
      <c r="BR21">
        <v>5640</v>
      </c>
      <c r="BS21">
        <v>2045</v>
      </c>
      <c r="BT21">
        <v>388</v>
      </c>
      <c r="BU21" s="1">
        <v>195675.07999999999</v>
      </c>
      <c r="BV21" s="4">
        <v>0.19309276358088914</v>
      </c>
      <c r="BW21" s="1">
        <v>21321.889999999999</v>
      </c>
      <c r="BX21" s="1">
        <v>110549.25</v>
      </c>
      <c r="BY21" s="5">
        <v>0.10909033584805286</v>
      </c>
      <c r="BZ21" s="1">
        <v>70466.940000000002</v>
      </c>
      <c r="CA21" s="5">
        <v>0.06953699053394384</v>
      </c>
      <c r="CB21" s="1">
        <v>7622.7600000000002</v>
      </c>
      <c r="CC21" s="1">
        <v>0</v>
      </c>
      <c r="CD21" s="1">
        <v>7036.1300000000001</v>
      </c>
      <c r="CE21" s="1">
        <v>74681.129999999874</v>
      </c>
      <c r="CF21" s="1">
        <v>68.908843329253358</v>
      </c>
      <c r="CG21" s="17">
        <v>3.1282469740242078</v>
      </c>
      <c r="CH21" s="5">
        <v>0.69561627058612996</v>
      </c>
      <c r="CI21" s="5">
        <v>0.073695566032443302</v>
      </c>
      <c r="CJ21" s="18">
        <f t="shared" si="3"/>
        <v>53359.239999999874</v>
      </c>
      <c r="CK21" s="19">
        <f t="shared" si="4"/>
        <v>0.052655060185363922</v>
      </c>
    </row>
    <row r="22">
      <c r="A22" t="s">
        <v>95</v>
      </c>
      <c r="B22" s="16">
        <v>22082397000140</v>
      </c>
      <c r="C22" t="s">
        <v>102</v>
      </c>
      <c r="D22" t="s">
        <v>91</v>
      </c>
      <c r="E22" t="s">
        <v>92</v>
      </c>
      <c r="F22" t="s">
        <v>93</v>
      </c>
      <c r="G22" s="1">
        <v>1006558.91</v>
      </c>
      <c r="H22" s="1">
        <v>490315.77000000002</v>
      </c>
      <c r="I22" s="5">
        <f t="shared" si="0"/>
        <v>0.32755966584991603</v>
      </c>
      <c r="J22" s="1">
        <v>16584.490000000002</v>
      </c>
      <c r="K22" s="1">
        <v>11415</v>
      </c>
      <c r="L22" s="1">
        <v>705684.20999999996</v>
      </c>
      <c r="M22" s="1">
        <f t="shared" si="1"/>
        <v>300874.70000000007</v>
      </c>
      <c r="N22" s="5">
        <f t="shared" si="2"/>
        <v>0.2989141489989891</v>
      </c>
      <c r="O22" s="1">
        <v>12120.48</v>
      </c>
      <c r="P22" s="1">
        <v>546.19000000000005</v>
      </c>
      <c r="Q22">
        <v>0</v>
      </c>
      <c r="R22">
        <v>62920.889999999999</v>
      </c>
      <c r="S22">
        <v>32088.5</v>
      </c>
      <c r="T22">
        <v>6990.5100000000002</v>
      </c>
      <c r="U22">
        <v>15823.85</v>
      </c>
      <c r="V22">
        <v>5842.1499999999996</v>
      </c>
      <c r="W22">
        <v>4523.8199999999997</v>
      </c>
      <c r="X22">
        <v>0</v>
      </c>
      <c r="Y22">
        <v>0</v>
      </c>
      <c r="Z22">
        <v>2473.2600000000002</v>
      </c>
      <c r="AA22">
        <v>385.08999999999997</v>
      </c>
      <c r="AB22">
        <v>0</v>
      </c>
      <c r="AC22">
        <v>1729.99</v>
      </c>
      <c r="AD22">
        <v>3137.25</v>
      </c>
      <c r="AE22">
        <v>9.3699999999999992</v>
      </c>
      <c r="AF22">
        <v>828.76999999999998</v>
      </c>
      <c r="AG22">
        <v>462.57999999999998</v>
      </c>
      <c r="AH22">
        <v>2782.4400000000001</v>
      </c>
      <c r="AI22">
        <v>24610.970000000001</v>
      </c>
      <c r="AJ22">
        <v>4851.29</v>
      </c>
      <c r="AK22">
        <v>0</v>
      </c>
      <c r="AL22">
        <v>631.02999999999997</v>
      </c>
      <c r="AM22">
        <v>3981.9899999999998</v>
      </c>
      <c r="AN22">
        <v>318.31999999999999</v>
      </c>
      <c r="AO22">
        <v>2094.9699999999998</v>
      </c>
      <c r="AP22">
        <v>46.229999999999997</v>
      </c>
      <c r="AQ22" s="1">
        <v>4472.6999999999998</v>
      </c>
      <c r="AR22" s="1">
        <v>20110.540000000001</v>
      </c>
      <c r="AS22" s="1">
        <v>0</v>
      </c>
      <c r="AT22" s="1">
        <v>866.67999999999995</v>
      </c>
      <c r="AU22">
        <v>0</v>
      </c>
      <c r="AV22" s="1">
        <v>36.390000000000001</v>
      </c>
      <c r="AW22" s="1">
        <v>8288.7900000000009</v>
      </c>
      <c r="AX22" s="1">
        <v>7833.4499999999998</v>
      </c>
      <c r="AY22" s="1">
        <v>0</v>
      </c>
      <c r="AZ22" s="1">
        <v>10141.889999999999</v>
      </c>
      <c r="BA22" s="1">
        <v>0</v>
      </c>
      <c r="BB22" s="1">
        <v>5395.21</v>
      </c>
      <c r="BC22" s="1">
        <v>43090.550000000003</v>
      </c>
      <c r="BD22" s="3">
        <v>14340</v>
      </c>
      <c r="BE22">
        <v>25</v>
      </c>
      <c r="BF22" s="1">
        <v>3007639.6200000001</v>
      </c>
      <c r="BG22">
        <v>188</v>
      </c>
      <c r="BH22" s="1">
        <v>92.900000000000006</v>
      </c>
      <c r="BI22" s="1">
        <v>1520862.0900000001</v>
      </c>
      <c r="BJ22" s="3">
        <v>44647</v>
      </c>
      <c r="BK22" s="1">
        <v>355575.96000000002</v>
      </c>
      <c r="BL22" s="1">
        <v>155623.91</v>
      </c>
      <c r="BM22" s="1">
        <v>67175.940000000002</v>
      </c>
      <c r="BN22" s="1">
        <v>223565.57999999999</v>
      </c>
      <c r="BO22" s="1">
        <v>138412.14000000001</v>
      </c>
      <c r="BP22">
        <v>2804</v>
      </c>
      <c r="BQ22">
        <v>1052</v>
      </c>
      <c r="BR22">
        <v>5552</v>
      </c>
      <c r="BS22">
        <v>1996</v>
      </c>
      <c r="BT22">
        <v>385</v>
      </c>
      <c r="BU22" s="1">
        <v>201116.51000000001</v>
      </c>
      <c r="BV22" s="4">
        <v>0.19980600042574756</v>
      </c>
      <c r="BW22" s="1">
        <v>66461.100000000006</v>
      </c>
      <c r="BX22" s="1">
        <v>128189.72</v>
      </c>
      <c r="BY22" s="5">
        <v>0.12735441386138044</v>
      </c>
      <c r="BZ22" s="1">
        <v>61118.040000000001</v>
      </c>
      <c r="CA22" s="5">
        <v>0.060719784398908155</v>
      </c>
      <c r="CB22" s="1">
        <v>7734.96</v>
      </c>
      <c r="CC22" s="1">
        <v>0</v>
      </c>
      <c r="CD22" s="1">
        <v>4073.79</v>
      </c>
      <c r="CE22" s="1">
        <v>66550.530000000057</v>
      </c>
      <c r="CF22" s="1">
        <v>70.192392608089264</v>
      </c>
      <c r="CG22" s="17">
        <v>3.1134588563458858</v>
      </c>
      <c r="CH22" s="5">
        <v>0.70108585100101095</v>
      </c>
      <c r="CI22" s="5">
        <v>0.0661168753649998</v>
      </c>
      <c r="CJ22" s="18">
        <f t="shared" si="3"/>
        <v>89.430000000051223</v>
      </c>
      <c r="CK22" s="19">
        <f t="shared" si="4"/>
        <v>8.8847258825666965e-05</v>
      </c>
    </row>
    <row r="23">
      <c r="A23" t="s">
        <v>96</v>
      </c>
      <c r="B23" s="16">
        <v>22082397000140</v>
      </c>
      <c r="C23" t="s">
        <v>102</v>
      </c>
      <c r="D23" t="s">
        <v>91</v>
      </c>
      <c r="E23" t="s">
        <v>92</v>
      </c>
      <c r="F23" t="s">
        <v>93</v>
      </c>
      <c r="G23" s="1">
        <v>992047.91000000003</v>
      </c>
      <c r="H23" s="1">
        <v>484802.56</v>
      </c>
      <c r="I23" s="5">
        <f t="shared" si="0"/>
        <v>0.32826787128963708</v>
      </c>
      <c r="J23" s="1">
        <v>15525.74</v>
      </c>
      <c r="K23" s="1">
        <v>13257.799999999999</v>
      </c>
      <c r="L23" s="1">
        <v>697475.77000000002</v>
      </c>
      <c r="M23" s="1">
        <f t="shared" si="1"/>
        <v>294572.14000000001</v>
      </c>
      <c r="N23" s="5">
        <f t="shared" si="2"/>
        <v>0.29693338096947353</v>
      </c>
      <c r="O23" s="1">
        <v>10508.040000000001</v>
      </c>
      <c r="P23" s="1">
        <v>1118.0799999999999</v>
      </c>
      <c r="Q23">
        <v>0</v>
      </c>
      <c r="R23">
        <v>48598.769999999997</v>
      </c>
      <c r="S23">
        <v>26067.439999999999</v>
      </c>
      <c r="T23">
        <v>5399.3199999999997</v>
      </c>
      <c r="U23">
        <v>12687.450000000001</v>
      </c>
      <c r="V23">
        <v>5347.5200000000004</v>
      </c>
      <c r="W23">
        <v>4184.6999999999998</v>
      </c>
      <c r="X23">
        <v>0</v>
      </c>
      <c r="Y23">
        <v>0</v>
      </c>
      <c r="Z23">
        <v>2473.2600000000002</v>
      </c>
      <c r="AA23">
        <v>385.08999999999997</v>
      </c>
      <c r="AB23">
        <v>35.280000000000001</v>
      </c>
      <c r="AC23">
        <v>1586.8099999999999</v>
      </c>
      <c r="AD23">
        <v>4093.1300000000001</v>
      </c>
      <c r="AE23">
        <v>9.3699999999999992</v>
      </c>
      <c r="AF23">
        <v>828.76999999999998</v>
      </c>
      <c r="AG23">
        <v>2631.0799999999999</v>
      </c>
      <c r="AH23">
        <v>3401.0500000000002</v>
      </c>
      <c r="AI23">
        <v>23974.32</v>
      </c>
      <c r="AJ23">
        <v>5356.79</v>
      </c>
      <c r="AK23">
        <v>0</v>
      </c>
      <c r="AL23">
        <v>657.78999999999996</v>
      </c>
      <c r="AM23">
        <v>2301.5799999999999</v>
      </c>
      <c r="AN23">
        <v>2137.8200000000002</v>
      </c>
      <c r="AO23">
        <v>3323.4299999999998</v>
      </c>
      <c r="AP23">
        <v>1298.9100000000001</v>
      </c>
      <c r="AQ23" s="1">
        <v>3443.3200000000002</v>
      </c>
      <c r="AR23" s="1">
        <v>23166.779999999999</v>
      </c>
      <c r="AS23" s="1">
        <v>226.16</v>
      </c>
      <c r="AT23" s="1">
        <v>390.23000000000002</v>
      </c>
      <c r="AU23">
        <v>0</v>
      </c>
      <c r="AV23" s="1">
        <v>46.009999999999998</v>
      </c>
      <c r="AW23" s="1">
        <v>4258.6700000000001</v>
      </c>
      <c r="AX23" s="1">
        <v>2729.1599999999999</v>
      </c>
      <c r="AY23" s="1">
        <v>0</v>
      </c>
      <c r="AZ23" s="1">
        <v>4773.2600000000002</v>
      </c>
      <c r="BA23" s="1">
        <v>0</v>
      </c>
      <c r="BB23" s="1">
        <v>0</v>
      </c>
      <c r="BC23" s="1">
        <v>35609.870000000003</v>
      </c>
      <c r="BD23" s="3">
        <v>14512</v>
      </c>
      <c r="BE23">
        <v>27</v>
      </c>
      <c r="BF23" s="1">
        <v>3251176.6000000001</v>
      </c>
      <c r="BG23">
        <v>188</v>
      </c>
      <c r="BH23" s="1">
        <v>0</v>
      </c>
      <c r="BI23" s="1">
        <v>1571564.1899999999</v>
      </c>
      <c r="BJ23" s="3">
        <v>43424</v>
      </c>
      <c r="BK23" s="1">
        <v>352397.45000000001</v>
      </c>
      <c r="BL23" s="1">
        <v>159808.79000000001</v>
      </c>
      <c r="BM23" s="1">
        <v>67620.649999999994</v>
      </c>
      <c r="BN23" s="1">
        <v>215597.01999999999</v>
      </c>
      <c r="BO23" s="1">
        <v>134606.88</v>
      </c>
      <c r="BP23">
        <v>2792</v>
      </c>
      <c r="BQ23">
        <v>1020</v>
      </c>
      <c r="BR23">
        <v>5038</v>
      </c>
      <c r="BS23">
        <v>1726</v>
      </c>
      <c r="BT23">
        <v>366</v>
      </c>
      <c r="BU23" s="1">
        <v>183389.78</v>
      </c>
      <c r="BV23" s="4">
        <v>0.18485980178114583</v>
      </c>
      <c r="BW23" s="1">
        <v>43112.290000000001</v>
      </c>
      <c r="BX23" s="1">
        <v>102285.2</v>
      </c>
      <c r="BY23" s="5">
        <v>0.10310510104295265</v>
      </c>
      <c r="BZ23" s="1">
        <v>65660.740000000005</v>
      </c>
      <c r="CA23" s="5">
        <v>0.066187065501705458</v>
      </c>
      <c r="CB23" s="1">
        <v>8582.9400000000005</v>
      </c>
      <c r="CC23" s="1">
        <v>0</v>
      </c>
      <c r="CD23" s="1">
        <v>6860.8999999999996</v>
      </c>
      <c r="CE23" s="1">
        <v>74460.989999999991</v>
      </c>
      <c r="CF23" s="1">
        <v>68.360523015435504</v>
      </c>
      <c r="CG23" s="17">
        <v>2.992282249173098</v>
      </c>
      <c r="CH23" s="5">
        <v>0.70306661903052647</v>
      </c>
      <c r="CI23" s="5">
        <v>0.075057856832741063</v>
      </c>
      <c r="CJ23" s="18">
        <f t="shared" si="3"/>
        <v>31348.69999999999</v>
      </c>
      <c r="CK23" s="19">
        <f t="shared" si="4"/>
        <v>0.031599985932131029</v>
      </c>
    </row>
    <row r="24">
      <c r="A24" t="s">
        <v>97</v>
      </c>
      <c r="B24" s="16">
        <v>22082397000140</v>
      </c>
      <c r="C24" t="s">
        <v>102</v>
      </c>
      <c r="D24" t="s">
        <v>91</v>
      </c>
      <c r="E24" t="s">
        <v>92</v>
      </c>
      <c r="F24" t="s">
        <v>93</v>
      </c>
      <c r="G24" s="1">
        <v>989523.56999999995</v>
      </c>
      <c r="H24" s="1">
        <v>501571.89000000001</v>
      </c>
      <c r="I24" s="5">
        <f t="shared" si="0"/>
        <v>0.33637812162609632</v>
      </c>
      <c r="J24" s="1">
        <v>7608.5</v>
      </c>
      <c r="K24" s="1">
        <v>12034.02</v>
      </c>
      <c r="L24" s="1">
        <v>685211.70999999996</v>
      </c>
      <c r="M24" s="1">
        <f t="shared" si="1"/>
        <v>304311.85999999999</v>
      </c>
      <c r="N24" s="5">
        <f t="shared" si="2"/>
        <v>0.30753371544247299</v>
      </c>
      <c r="O24" s="1">
        <v>21089.27</v>
      </c>
      <c r="P24" s="1">
        <v>5955.8999999999996</v>
      </c>
      <c r="Q24">
        <v>0</v>
      </c>
      <c r="R24">
        <v>49818.010000000002</v>
      </c>
      <c r="S24">
        <v>30301.07</v>
      </c>
      <c r="T24">
        <v>5534.7799999999997</v>
      </c>
      <c r="U24">
        <v>13417.030000000001</v>
      </c>
      <c r="V24">
        <v>4927.1199999999999</v>
      </c>
      <c r="W24">
        <v>4334.8000000000002</v>
      </c>
      <c r="X24">
        <v>0</v>
      </c>
      <c r="Y24">
        <v>0</v>
      </c>
      <c r="Z24">
        <v>2473.2199999999998</v>
      </c>
      <c r="AA24">
        <v>385.08999999999997</v>
      </c>
      <c r="AB24">
        <v>1425.96</v>
      </c>
      <c r="AC24">
        <v>1586.8099999999999</v>
      </c>
      <c r="AD24">
        <v>3174.8600000000001</v>
      </c>
      <c r="AE24">
        <v>9.3699999999999992</v>
      </c>
      <c r="AF24">
        <v>828.91999999999996</v>
      </c>
      <c r="AG24">
        <v>824.87</v>
      </c>
      <c r="AH24">
        <v>2764.9699999999998</v>
      </c>
      <c r="AI24">
        <v>24302.040000000001</v>
      </c>
      <c r="AJ24">
        <v>6184.2799999999997</v>
      </c>
      <c r="AK24">
        <v>0</v>
      </c>
      <c r="AL24">
        <v>450.44</v>
      </c>
      <c r="AM24">
        <v>1212.78</v>
      </c>
      <c r="AN24">
        <v>1808.55</v>
      </c>
      <c r="AO24">
        <v>3355.1199999999999</v>
      </c>
      <c r="AP24">
        <v>1815.76</v>
      </c>
      <c r="AQ24" s="1">
        <v>2940.9400000000001</v>
      </c>
      <c r="AR24" s="1">
        <v>22067.900000000001</v>
      </c>
      <c r="AS24" s="1">
        <v>0</v>
      </c>
      <c r="AT24" s="1">
        <v>439.19</v>
      </c>
      <c r="AU24">
        <v>0</v>
      </c>
      <c r="AV24" s="1">
        <v>34.189999999999998</v>
      </c>
      <c r="AW24" s="1">
        <v>6618.0600000000004</v>
      </c>
      <c r="AX24" s="1">
        <v>4337.9499999999998</v>
      </c>
      <c r="AY24" s="1">
        <v>0</v>
      </c>
      <c r="AZ24" s="1">
        <v>1229.9400000000001</v>
      </c>
      <c r="BA24" s="1">
        <v>0</v>
      </c>
      <c r="BB24" s="1">
        <v>0</v>
      </c>
      <c r="BC24" s="1">
        <v>39711.639999999999</v>
      </c>
      <c r="BD24" s="3">
        <v>13610</v>
      </c>
      <c r="BE24">
        <v>28</v>
      </c>
      <c r="BF24" s="1">
        <v>2914047.3599999999</v>
      </c>
      <c r="BG24">
        <v>188</v>
      </c>
      <c r="BH24" s="1">
        <v>0</v>
      </c>
      <c r="BI24" s="1">
        <v>1626162.8799999999</v>
      </c>
      <c r="BJ24" s="3">
        <v>42366</v>
      </c>
      <c r="BK24" s="1">
        <v>338783.02000000002</v>
      </c>
      <c r="BL24" s="1">
        <v>159770.95000000001</v>
      </c>
      <c r="BM24" s="1">
        <v>67771.570000000007</v>
      </c>
      <c r="BN24" s="1">
        <v>216100.19</v>
      </c>
      <c r="BO24" s="1">
        <v>146031.53</v>
      </c>
      <c r="BP24">
        <v>2708</v>
      </c>
      <c r="BQ24">
        <v>980</v>
      </c>
      <c r="BR24">
        <v>4931</v>
      </c>
      <c r="BS24">
        <v>1734</v>
      </c>
      <c r="BT24">
        <v>365</v>
      </c>
      <c r="BU24" s="1">
        <v>185944.68999999997</v>
      </c>
      <c r="BV24" s="4">
        <v>0.18791335106853491</v>
      </c>
      <c r="BW24" s="1">
        <v>45279.529999999999</v>
      </c>
      <c r="BX24" s="1">
        <v>108332.81</v>
      </c>
      <c r="BY24" s="5">
        <v>0.1094797671166135</v>
      </c>
      <c r="BZ24" s="1">
        <v>64137.810000000005</v>
      </c>
      <c r="CA24" s="5">
        <v>0.064816859289162768</v>
      </c>
      <c r="CB24" s="1">
        <v>9055.3100000000013</v>
      </c>
      <c r="CC24" s="1">
        <v>0</v>
      </c>
      <c r="CD24" s="1">
        <v>4418.7600000000002</v>
      </c>
      <c r="CE24" s="1">
        <v>77892.539999999979</v>
      </c>
      <c r="CF24" s="1">
        <v>72.705626010286551</v>
      </c>
      <c r="CG24" s="17">
        <v>3.1128581925055108</v>
      </c>
      <c r="CH24" s="5">
        <v>0.69246628455752701</v>
      </c>
      <c r="CI24" s="5">
        <v>0.078717215396900533</v>
      </c>
      <c r="CJ24" s="18">
        <f t="shared" si="3"/>
        <v>32613.00999999998</v>
      </c>
      <c r="CK24" s="19">
        <f t="shared" si="4"/>
        <v>0.03295829527335057</v>
      </c>
    </row>
    <row r="25">
      <c r="A25" t="s">
        <v>98</v>
      </c>
      <c r="B25" s="16">
        <v>22082397000140</v>
      </c>
      <c r="C25" t="s">
        <v>102</v>
      </c>
      <c r="D25" t="s">
        <v>91</v>
      </c>
      <c r="E25" t="s">
        <v>92</v>
      </c>
      <c r="F25" t="s">
        <v>93</v>
      </c>
      <c r="G25" s="1">
        <v>996044.40000000002</v>
      </c>
      <c r="H25" s="1">
        <v>513743.53999999998</v>
      </c>
      <c r="I25" s="5">
        <f t="shared" si="0"/>
        <v>0.34027529720498362</v>
      </c>
      <c r="J25" s="1">
        <v>12814.65</v>
      </c>
      <c r="K25" s="1">
        <v>7198.29</v>
      </c>
      <c r="L25" s="1">
        <v>687529.80000000005</v>
      </c>
      <c r="M25" s="1">
        <f t="shared" si="1"/>
        <v>308514.59999999998</v>
      </c>
      <c r="N25" s="5">
        <f t="shared" si="2"/>
        <v>0.30973980677969776</v>
      </c>
      <c r="O25" s="1">
        <v>11211.75</v>
      </c>
      <c r="P25" s="1">
        <v>4062.6399999999999</v>
      </c>
      <c r="Q25">
        <v>0</v>
      </c>
      <c r="R25">
        <v>48533.529999999999</v>
      </c>
      <c r="S25">
        <v>30505.849999999999</v>
      </c>
      <c r="T25">
        <v>5392.0799999999999</v>
      </c>
      <c r="U25">
        <v>11450.540000000001</v>
      </c>
      <c r="V25">
        <v>5156.9300000000003</v>
      </c>
      <c r="W25">
        <v>4104.4099999999999</v>
      </c>
      <c r="X25">
        <v>0</v>
      </c>
      <c r="Y25">
        <v>0</v>
      </c>
      <c r="Z25">
        <v>2473.2600000000002</v>
      </c>
      <c r="AA25">
        <v>385.08999999999997</v>
      </c>
      <c r="AB25">
        <v>46.700000000000003</v>
      </c>
      <c r="AC25">
        <v>1586.8099999999999</v>
      </c>
      <c r="AD25">
        <v>4557.8999999999996</v>
      </c>
      <c r="AE25">
        <v>9.4100000000000001</v>
      </c>
      <c r="AF25">
        <v>580.67999999999995</v>
      </c>
      <c r="AG25">
        <v>244.31999999999999</v>
      </c>
      <c r="AH25">
        <v>3081.6999999999998</v>
      </c>
      <c r="AI25">
        <v>24033.639999999999</v>
      </c>
      <c r="AJ25">
        <v>9263.5900000000001</v>
      </c>
      <c r="AK25">
        <v>0</v>
      </c>
      <c r="AL25">
        <v>864.64999999999998</v>
      </c>
      <c r="AM25">
        <v>2435.0300000000002</v>
      </c>
      <c r="AN25">
        <v>439.92000000000002</v>
      </c>
      <c r="AO25">
        <v>2459.2199999999998</v>
      </c>
      <c r="AP25">
        <v>278.23000000000002</v>
      </c>
      <c r="AQ25" s="1">
        <v>3000.8200000000002</v>
      </c>
      <c r="AR25" s="1">
        <v>3358.5100000000002</v>
      </c>
      <c r="AS25" s="1">
        <v>95.019999999999996</v>
      </c>
      <c r="AT25" s="1">
        <v>381.63</v>
      </c>
      <c r="AU25">
        <v>0</v>
      </c>
      <c r="AV25" s="1">
        <v>49.920000000000002</v>
      </c>
      <c r="AW25" s="1">
        <v>0</v>
      </c>
      <c r="AX25" s="1">
        <v>6731.9899999999998</v>
      </c>
      <c r="AY25" s="1">
        <v>0</v>
      </c>
      <c r="AZ25" s="1">
        <v>1614.4400000000001</v>
      </c>
      <c r="BA25" s="1">
        <v>0</v>
      </c>
      <c r="BB25" s="1">
        <v>0</v>
      </c>
      <c r="BC25" s="1">
        <v>35632.379999999997</v>
      </c>
      <c r="BD25" s="3">
        <v>13865</v>
      </c>
      <c r="BE25">
        <v>28</v>
      </c>
      <c r="BF25" s="1">
        <v>2793582.9500000002</v>
      </c>
      <c r="BG25">
        <v>188</v>
      </c>
      <c r="BH25" s="1">
        <v>0</v>
      </c>
      <c r="BI25" s="1">
        <v>1583167.3700000001</v>
      </c>
      <c r="BJ25" s="3">
        <v>42288</v>
      </c>
      <c r="BK25" s="1">
        <v>343001.91999999998</v>
      </c>
      <c r="BL25" s="1">
        <v>164671.98999999999</v>
      </c>
      <c r="BM25" s="1">
        <v>65616.869999999995</v>
      </c>
      <c r="BN25" s="1">
        <v>215079.60000000001</v>
      </c>
      <c r="BO25" s="1">
        <v>147085.60000000001</v>
      </c>
      <c r="BP25">
        <v>2731</v>
      </c>
      <c r="BQ25">
        <v>1026</v>
      </c>
      <c r="BR25">
        <v>5148</v>
      </c>
      <c r="BS25">
        <v>1855</v>
      </c>
      <c r="BT25">
        <v>360</v>
      </c>
      <c r="BU25" s="1">
        <v>164242.82000000001</v>
      </c>
      <c r="BV25" s="4">
        <v>0.1648950789743911</v>
      </c>
      <c r="BW25" s="1">
        <v>43978.809999999998</v>
      </c>
      <c r="BX25" s="1">
        <v>105143.34</v>
      </c>
      <c r="BY25" s="5">
        <v>0.10556089668291894</v>
      </c>
      <c r="BZ25" s="1">
        <v>46133.610000000001</v>
      </c>
      <c r="CA25" s="5">
        <v>0.046316820816421439</v>
      </c>
      <c r="CB25" s="1">
        <v>9059.1700000000001</v>
      </c>
      <c r="CC25" s="1">
        <v>0</v>
      </c>
      <c r="CD25" s="1">
        <v>3906.6999999999998</v>
      </c>
      <c r="CE25" s="1">
        <v>108557.71999999986</v>
      </c>
      <c r="CF25" s="1">
        <v>71.838759466282013</v>
      </c>
      <c r="CG25" s="17">
        <v>3.049981968986657</v>
      </c>
      <c r="CH25" s="5">
        <v>0.6902601932203023</v>
      </c>
      <c r="CI25" s="5">
        <v>0.1089888362406333</v>
      </c>
      <c r="CJ25" s="18">
        <f t="shared" si="3"/>
        <v>64578.909999999858</v>
      </c>
      <c r="CK25" s="19">
        <f t="shared" si="4"/>
        <v>0.064835372800650104</v>
      </c>
    </row>
    <row r="26">
      <c r="A26" t="s">
        <v>89</v>
      </c>
      <c r="B26" s="16">
        <v>22082397000221</v>
      </c>
      <c r="C26" t="s">
        <v>103</v>
      </c>
      <c r="D26" t="s">
        <v>91</v>
      </c>
      <c r="E26" t="s">
        <v>92</v>
      </c>
      <c r="F26" t="s">
        <v>93</v>
      </c>
      <c r="G26" s="1">
        <v>309620.40999999997</v>
      </c>
      <c r="H26" s="1">
        <v>177187.72</v>
      </c>
      <c r="I26" s="5">
        <f t="shared" si="0"/>
        <v>0.36397855557588982</v>
      </c>
      <c r="J26" s="1">
        <v>8024.29</v>
      </c>
      <c r="K26" s="1">
        <v>2277.2399999999998</v>
      </c>
      <c r="L26" s="1">
        <v>214589.10000000001</v>
      </c>
      <c r="M26" s="1">
        <f t="shared" si="1"/>
        <v>95031.309999999969</v>
      </c>
      <c r="N26" s="5">
        <f t="shared" si="2"/>
        <v>0.30692844182978757</v>
      </c>
      <c r="O26" s="1">
        <v>2687.8400000000001</v>
      </c>
      <c r="P26" s="1">
        <v>0</v>
      </c>
      <c r="Q26">
        <v>0</v>
      </c>
      <c r="R26">
        <v>38427.699999999997</v>
      </c>
      <c r="S26">
        <v>8261.2900000000009</v>
      </c>
      <c r="T26">
        <v>3405.8600000000001</v>
      </c>
      <c r="U26">
        <v>3765.3699999999999</v>
      </c>
      <c r="V26">
        <v>1360.4300000000001</v>
      </c>
      <c r="W26">
        <v>2715.71</v>
      </c>
      <c r="X26">
        <v>1412</v>
      </c>
      <c r="Y26">
        <v>0</v>
      </c>
      <c r="Z26">
        <v>1686</v>
      </c>
      <c r="AA26">
        <v>217</v>
      </c>
      <c r="AB26">
        <v>0</v>
      </c>
      <c r="AC26">
        <v>1586.8099999999999</v>
      </c>
      <c r="AD26">
        <v>1971.9300000000001</v>
      </c>
      <c r="AE26">
        <v>9.3699999999999992</v>
      </c>
      <c r="AF26">
        <v>57.950000000000003</v>
      </c>
      <c r="AG26">
        <v>611.94000000000005</v>
      </c>
      <c r="AH26">
        <v>1395.3299999999999</v>
      </c>
      <c r="AI26">
        <v>12415.15</v>
      </c>
      <c r="AJ26">
        <v>4681.5500000000002</v>
      </c>
      <c r="AK26">
        <v>0</v>
      </c>
      <c r="AL26">
        <v>345.98000000000002</v>
      </c>
      <c r="AM26">
        <v>211</v>
      </c>
      <c r="AN26">
        <v>203.09999999999999</v>
      </c>
      <c r="AO26">
        <v>2021.77</v>
      </c>
      <c r="AP26">
        <v>69.5</v>
      </c>
      <c r="AQ26" s="1">
        <v>1909.5</v>
      </c>
      <c r="AR26" s="1">
        <v>620.21000000000004</v>
      </c>
      <c r="AS26" s="1">
        <v>0</v>
      </c>
      <c r="AT26" s="1">
        <v>155.83000000000001</v>
      </c>
      <c r="AU26">
        <v>0</v>
      </c>
      <c r="AV26" s="1">
        <v>90.709999999999994</v>
      </c>
      <c r="AW26" s="1">
        <v>2739.2800000000002</v>
      </c>
      <c r="AX26" s="1">
        <v>2295.8499999999999</v>
      </c>
      <c r="AY26" s="1">
        <v>4723.7399999999998</v>
      </c>
      <c r="AZ26" s="1">
        <v>49.600000000000001</v>
      </c>
      <c r="BA26" s="1">
        <v>0</v>
      </c>
      <c r="BB26" s="1">
        <v>1935.99</v>
      </c>
      <c r="BC26" s="1">
        <v>5056.4899999999998</v>
      </c>
      <c r="BD26" s="3">
        <v>6692</v>
      </c>
      <c r="BE26">
        <v>16</v>
      </c>
      <c r="BF26" s="1">
        <v>1075357.9199999999</v>
      </c>
      <c r="BG26">
        <v>138</v>
      </c>
      <c r="BH26" s="1">
        <v>24817.310000000001</v>
      </c>
      <c r="BI26" s="1">
        <v>381746.09999999998</v>
      </c>
      <c r="BJ26" s="3">
        <v>16808</v>
      </c>
      <c r="BK26" s="1">
        <v>84694.669999999998</v>
      </c>
      <c r="BL26" s="1">
        <v>64566.889999999999</v>
      </c>
      <c r="BM26" s="1">
        <v>23685.5</v>
      </c>
      <c r="BN26" s="1">
        <v>61959.639999999999</v>
      </c>
      <c r="BO26" s="1">
        <v>27769.919999999998</v>
      </c>
      <c r="BP26">
        <v>1427</v>
      </c>
      <c r="BQ26">
        <v>764</v>
      </c>
      <c r="BR26">
        <v>3145</v>
      </c>
      <c r="BS26">
        <v>906</v>
      </c>
      <c r="BT26">
        <v>305</v>
      </c>
      <c r="BU26" s="1">
        <v>89362.450000000012</v>
      </c>
      <c r="BV26" s="4">
        <v>0.28861937751455086</v>
      </c>
      <c r="BW26" s="1">
        <v>14061.67</v>
      </c>
      <c r="BX26" s="1">
        <v>57936.360000000001</v>
      </c>
      <c r="BY26" s="5">
        <v>0.18712061003988725</v>
      </c>
      <c r="BZ26" s="1">
        <v>22477.759999999998</v>
      </c>
      <c r="CA26" s="5">
        <v>0.07259779805859698</v>
      </c>
      <c r="CB26" s="1">
        <v>5471.1099999999997</v>
      </c>
      <c r="CC26" s="1">
        <v>1412</v>
      </c>
      <c r="CD26" s="1">
        <v>2065.2200000000003</v>
      </c>
      <c r="CE26" s="1">
        <v>-4646.3499999999931</v>
      </c>
      <c r="CF26" s="1">
        <v>46.267245965331739</v>
      </c>
      <c r="CG26" s="17">
        <v>2.5116557083084281</v>
      </c>
      <c r="CH26" s="5">
        <v>0.69307155817021249</v>
      </c>
      <c r="CI26" s="5">
        <v>-0.015006601147514769</v>
      </c>
      <c r="CJ26" s="18">
        <f t="shared" si="3"/>
        <v>-18708.019999999993</v>
      </c>
      <c r="CK26" s="19">
        <f t="shared" si="4"/>
        <v>-0.060422437913572928</v>
      </c>
    </row>
    <row r="27">
      <c r="A27" t="s">
        <v>94</v>
      </c>
      <c r="B27" s="16">
        <v>22082397000221</v>
      </c>
      <c r="C27" t="s">
        <v>103</v>
      </c>
      <c r="D27" t="s">
        <v>91</v>
      </c>
      <c r="E27" t="s">
        <v>92</v>
      </c>
      <c r="F27" t="s">
        <v>93</v>
      </c>
      <c r="G27" s="1">
        <v>319256.70000000001</v>
      </c>
      <c r="H27" s="1">
        <v>199335.79999999999</v>
      </c>
      <c r="I27" s="5">
        <f t="shared" si="0"/>
        <v>0.38437848599815844</v>
      </c>
      <c r="J27" s="1">
        <v>8463.3899999999994</v>
      </c>
      <c r="K27" s="1">
        <v>2827.6500000000001</v>
      </c>
      <c r="L27" s="1">
        <v>221254.85999999999</v>
      </c>
      <c r="M27" s="1">
        <f t="shared" si="1"/>
        <v>98001.840000000026</v>
      </c>
      <c r="N27" s="5">
        <f t="shared" si="2"/>
        <v>0.30696878092143415</v>
      </c>
      <c r="O27" s="1">
        <v>2639.0599999999999</v>
      </c>
      <c r="P27" s="1">
        <v>860</v>
      </c>
      <c r="Q27">
        <v>0</v>
      </c>
      <c r="R27">
        <v>34644.900000000001</v>
      </c>
      <c r="S27">
        <v>8210.8099999999995</v>
      </c>
      <c r="T27">
        <v>2837.3000000000002</v>
      </c>
      <c r="U27">
        <v>3033.04</v>
      </c>
      <c r="V27">
        <v>1724.5999999999999</v>
      </c>
      <c r="W27">
        <v>2891.3600000000001</v>
      </c>
      <c r="X27">
        <v>0</v>
      </c>
      <c r="Y27">
        <v>0</v>
      </c>
      <c r="Z27">
        <v>1714.22</v>
      </c>
      <c r="AA27">
        <v>385.08999999999997</v>
      </c>
      <c r="AB27">
        <v>109.31</v>
      </c>
      <c r="AC27">
        <v>1586.8099999999999</v>
      </c>
      <c r="AD27">
        <v>1939.8</v>
      </c>
      <c r="AE27">
        <v>9.3699999999999992</v>
      </c>
      <c r="AF27">
        <v>17.460000000000001</v>
      </c>
      <c r="AG27">
        <v>596.41999999999996</v>
      </c>
      <c r="AH27">
        <v>3536.7199999999998</v>
      </c>
      <c r="AI27">
        <v>12395.48</v>
      </c>
      <c r="AJ27">
        <v>4834.5100000000002</v>
      </c>
      <c r="AK27">
        <v>0</v>
      </c>
      <c r="AL27">
        <v>383.88999999999999</v>
      </c>
      <c r="AM27">
        <v>293.73000000000002</v>
      </c>
      <c r="AN27">
        <v>524.76999999999998</v>
      </c>
      <c r="AO27">
        <v>1240.0699999999999</v>
      </c>
      <c r="AP27">
        <v>1228.3199999999999</v>
      </c>
      <c r="AQ27" s="1">
        <v>2091.52</v>
      </c>
      <c r="AR27" s="1">
        <v>1709.3800000000001</v>
      </c>
      <c r="AS27" s="1">
        <v>175.03999999999999</v>
      </c>
      <c r="AT27" s="1">
        <v>178.28</v>
      </c>
      <c r="AU27">
        <v>0</v>
      </c>
      <c r="AV27" s="1">
        <v>84.5</v>
      </c>
      <c r="AW27" s="1">
        <v>2739.2800000000002</v>
      </c>
      <c r="AX27" s="1">
        <v>1409.55</v>
      </c>
      <c r="AY27" s="1">
        <v>267.22000000000003</v>
      </c>
      <c r="AZ27" s="1">
        <v>6.4800000000000004</v>
      </c>
      <c r="BA27" s="1">
        <v>0</v>
      </c>
      <c r="BB27" s="1">
        <v>240.05000000000001</v>
      </c>
      <c r="BC27" s="1">
        <v>5000</v>
      </c>
      <c r="BD27" s="3">
        <v>6766</v>
      </c>
      <c r="BE27">
        <v>13</v>
      </c>
      <c r="BF27" s="1">
        <v>1100445.45</v>
      </c>
      <c r="BG27">
        <v>131.12</v>
      </c>
      <c r="BH27" s="1">
        <v>31153.950000000001</v>
      </c>
      <c r="BI27" s="1">
        <v>418783.32000000001</v>
      </c>
      <c r="BJ27" s="3">
        <v>17564</v>
      </c>
      <c r="BK27" s="1">
        <v>91013.600000000006</v>
      </c>
      <c r="BL27" s="1">
        <v>67333.949999999997</v>
      </c>
      <c r="BM27" s="1">
        <v>29076.169999999998</v>
      </c>
      <c r="BN27" s="1">
        <v>58331.309999999998</v>
      </c>
      <c r="BO27" s="1">
        <v>25610.779999999999</v>
      </c>
      <c r="BP27">
        <v>1449</v>
      </c>
      <c r="BQ27">
        <v>801</v>
      </c>
      <c r="BR27">
        <v>3130</v>
      </c>
      <c r="BS27">
        <v>954</v>
      </c>
      <c r="BT27">
        <v>308</v>
      </c>
      <c r="BU27" s="1">
        <v>87938.880000000019</v>
      </c>
      <c r="BV27" s="4">
        <v>0.2754488159528054</v>
      </c>
      <c r="BW27" s="1">
        <v>6923.3000000000002</v>
      </c>
      <c r="BX27" s="1">
        <v>53342.010000000002</v>
      </c>
      <c r="BY27" s="5">
        <v>0.16708188113201697</v>
      </c>
      <c r="BZ27" s="1">
        <v>24701.669999999998</v>
      </c>
      <c r="CA27" s="5">
        <v>0.077372440421767177</v>
      </c>
      <c r="CB27" s="1">
        <v>5744.5999999999995</v>
      </c>
      <c r="CC27" s="1">
        <v>0</v>
      </c>
      <c r="CD27" s="1">
        <v>4150.5999999999995</v>
      </c>
      <c r="CE27" s="1">
        <v>-2256.6800000000103</v>
      </c>
      <c r="CF27" s="1">
        <v>47.185441915459656</v>
      </c>
      <c r="CG27" s="17">
        <v>2.5959207803724507</v>
      </c>
      <c r="CH27" s="5">
        <v>0.69303121907856591</v>
      </c>
      <c r="CI27" s="5">
        <v>-0.0070685439021327045</v>
      </c>
      <c r="CJ27" s="18">
        <f t="shared" si="3"/>
        <v>-9179.9800000000105</v>
      </c>
      <c r="CK27" s="19">
        <f t="shared" si="4"/>
        <v>-0.028754228180645887</v>
      </c>
    </row>
    <row r="28">
      <c r="A28" t="s">
        <v>95</v>
      </c>
      <c r="B28" s="16">
        <v>22082397000221</v>
      </c>
      <c r="C28" t="s">
        <v>103</v>
      </c>
      <c r="D28" t="s">
        <v>91</v>
      </c>
      <c r="E28" t="s">
        <v>92</v>
      </c>
      <c r="F28" t="s">
        <v>93</v>
      </c>
      <c r="G28" s="1">
        <v>335985.90999999997</v>
      </c>
      <c r="H28" s="1">
        <v>217133.35000000001</v>
      </c>
      <c r="I28" s="5">
        <f t="shared" si="0"/>
        <v>0.39256154269515042</v>
      </c>
      <c r="J28" s="1">
        <v>16521.849999999999</v>
      </c>
      <c r="K28" s="1">
        <v>2745.27</v>
      </c>
      <c r="L28" s="1">
        <v>233946.62</v>
      </c>
      <c r="M28" s="1">
        <f t="shared" si="1"/>
        <v>102039.28999999998</v>
      </c>
      <c r="N28" s="5">
        <f t="shared" si="2"/>
        <v>0.30370109865619066</v>
      </c>
      <c r="O28" s="1">
        <v>3022.1300000000001</v>
      </c>
      <c r="P28" s="1">
        <v>499</v>
      </c>
      <c r="Q28">
        <v>0</v>
      </c>
      <c r="R28">
        <v>25984.639999999999</v>
      </c>
      <c r="S28">
        <v>11063.24</v>
      </c>
      <c r="T28">
        <v>1229.1300000000001</v>
      </c>
      <c r="U28">
        <v>2978.9400000000001</v>
      </c>
      <c r="V28">
        <v>1662.71</v>
      </c>
      <c r="W28">
        <v>2586.6100000000001</v>
      </c>
      <c r="X28">
        <v>0</v>
      </c>
      <c r="Y28">
        <v>0</v>
      </c>
      <c r="Z28">
        <v>1714.22</v>
      </c>
      <c r="AA28">
        <v>385.08999999999997</v>
      </c>
      <c r="AB28">
        <v>0</v>
      </c>
      <c r="AC28">
        <v>1729.99</v>
      </c>
      <c r="AD28">
        <v>2015.5</v>
      </c>
      <c r="AE28">
        <v>9.3699999999999992</v>
      </c>
      <c r="AF28">
        <v>0</v>
      </c>
      <c r="AG28">
        <v>462.57999999999998</v>
      </c>
      <c r="AH28">
        <v>3575.6399999999999</v>
      </c>
      <c r="AI28">
        <v>12442.59</v>
      </c>
      <c r="AJ28">
        <v>2685.9699999999998</v>
      </c>
      <c r="AK28">
        <v>0</v>
      </c>
      <c r="AL28">
        <v>378.5</v>
      </c>
      <c r="AM28">
        <v>3588.8299999999999</v>
      </c>
      <c r="AN28">
        <v>318.30000000000001</v>
      </c>
      <c r="AO28">
        <v>2577.6300000000001</v>
      </c>
      <c r="AP28">
        <v>61.649999999999999</v>
      </c>
      <c r="AQ28" s="1">
        <v>3480.3699999999999</v>
      </c>
      <c r="AR28" s="1">
        <v>1725.1600000000001</v>
      </c>
      <c r="AS28" s="1">
        <v>0</v>
      </c>
      <c r="AT28" s="1">
        <v>264.05000000000001</v>
      </c>
      <c r="AU28">
        <v>0</v>
      </c>
      <c r="AV28" s="1">
        <v>74.540000000000006</v>
      </c>
      <c r="AW28" s="1">
        <v>2441.4200000000001</v>
      </c>
      <c r="AX28" s="1">
        <v>1323.72</v>
      </c>
      <c r="AY28" s="1">
        <v>0</v>
      </c>
      <c r="AZ28" s="1">
        <v>501.48000000000002</v>
      </c>
      <c r="BA28" s="1">
        <v>0</v>
      </c>
      <c r="BB28" s="1">
        <v>5395.21</v>
      </c>
      <c r="BC28" s="1">
        <v>0</v>
      </c>
      <c r="BD28" s="3">
        <v>6823</v>
      </c>
      <c r="BE28">
        <v>13</v>
      </c>
      <c r="BF28" s="1">
        <v>1012159.91</v>
      </c>
      <c r="BG28">
        <v>131.12</v>
      </c>
      <c r="BH28" s="1">
        <v>45377.019999999997</v>
      </c>
      <c r="BI28" s="1">
        <v>413239.56</v>
      </c>
      <c r="BJ28" s="3">
        <v>17423</v>
      </c>
      <c r="BK28" s="1">
        <v>102708.86</v>
      </c>
      <c r="BL28" s="1">
        <v>77131.949999999997</v>
      </c>
      <c r="BM28" s="1">
        <v>27433.349999999999</v>
      </c>
      <c r="BN28" s="1">
        <v>58410.510000000002</v>
      </c>
      <c r="BO28" s="1">
        <v>27249.599999999999</v>
      </c>
      <c r="BP28">
        <v>1491</v>
      </c>
      <c r="BQ28">
        <v>812</v>
      </c>
      <c r="BR28">
        <v>2994</v>
      </c>
      <c r="BS28">
        <v>888</v>
      </c>
      <c r="BT28">
        <v>306</v>
      </c>
      <c r="BU28" s="1">
        <v>82656.660000000003</v>
      </c>
      <c r="BV28" s="4">
        <v>0.24601228069355649</v>
      </c>
      <c r="BW28" s="1">
        <v>7220.4099999999999</v>
      </c>
      <c r="BX28" s="1">
        <v>45505.269999999997</v>
      </c>
      <c r="BY28" s="5">
        <v>0.13543803071980012</v>
      </c>
      <c r="BZ28" s="1">
        <v>27259</v>
      </c>
      <c r="CA28" s="5">
        <v>0.081131378396195247</v>
      </c>
      <c r="CB28" s="1">
        <v>5854.1700000000001</v>
      </c>
      <c r="CC28" s="1">
        <v>0</v>
      </c>
      <c r="CD28" s="1">
        <v>4038.2199999999998</v>
      </c>
      <c r="CE28" s="1">
        <v>-1153.710000000021</v>
      </c>
      <c r="CF28" s="1">
        <v>49.243134984610869</v>
      </c>
      <c r="CG28" s="17">
        <v>2.5535688113732964</v>
      </c>
      <c r="CH28" s="5">
        <v>0.69629890134380934</v>
      </c>
      <c r="CI28" s="5">
        <v>-0.0034338047092511144</v>
      </c>
      <c r="CJ28" s="18">
        <f t="shared" si="3"/>
        <v>-8374.1200000000208</v>
      </c>
      <c r="CK28" s="19">
        <f t="shared" si="4"/>
        <v>-0.024924021367443715</v>
      </c>
    </row>
    <row r="29">
      <c r="A29" t="s">
        <v>96</v>
      </c>
      <c r="B29" s="16">
        <v>22082397000221</v>
      </c>
      <c r="C29" t="s">
        <v>103</v>
      </c>
      <c r="D29" t="s">
        <v>91</v>
      </c>
      <c r="E29" t="s">
        <v>92</v>
      </c>
      <c r="F29" t="s">
        <v>93</v>
      </c>
      <c r="G29" s="1">
        <v>329103.81</v>
      </c>
      <c r="H29" s="1">
        <v>211332.42000000001</v>
      </c>
      <c r="I29" s="5">
        <f t="shared" si="0"/>
        <v>0.39104043783297066</v>
      </c>
      <c r="J29" s="1">
        <v>8896.3899999999994</v>
      </c>
      <c r="K29" s="1">
        <v>2990.7800000000002</v>
      </c>
      <c r="L29" s="1">
        <v>228418.39999999999</v>
      </c>
      <c r="M29" s="1">
        <f t="shared" si="1"/>
        <v>100685.41</v>
      </c>
      <c r="N29" s="5">
        <f t="shared" si="2"/>
        <v>0.30593814760151211</v>
      </c>
      <c r="O29" s="1">
        <v>3013.2800000000002</v>
      </c>
      <c r="P29" s="1">
        <v>276.57999999999998</v>
      </c>
      <c r="Q29">
        <v>0</v>
      </c>
      <c r="R29">
        <v>32177.349999999999</v>
      </c>
      <c r="S29">
        <v>11417.59</v>
      </c>
      <c r="T29">
        <v>3574.9000000000001</v>
      </c>
      <c r="U29">
        <v>4002.5799999999999</v>
      </c>
      <c r="V29">
        <v>1681.0699999999999</v>
      </c>
      <c r="W29">
        <v>2434.2800000000002</v>
      </c>
      <c r="X29">
        <v>0</v>
      </c>
      <c r="Y29">
        <v>0</v>
      </c>
      <c r="Z29">
        <v>1714.22</v>
      </c>
      <c r="AA29">
        <v>385.08999999999997</v>
      </c>
      <c r="AB29">
        <v>35.310000000000002</v>
      </c>
      <c r="AC29">
        <v>1586.8099999999999</v>
      </c>
      <c r="AD29">
        <v>1983.54</v>
      </c>
      <c r="AE29">
        <v>9.3699999999999992</v>
      </c>
      <c r="AF29">
        <v>0</v>
      </c>
      <c r="AG29">
        <v>435.66000000000003</v>
      </c>
      <c r="AH29">
        <v>1251.8499999999999</v>
      </c>
      <c r="AI29">
        <v>11665.799999999999</v>
      </c>
      <c r="AJ29">
        <v>2329.46</v>
      </c>
      <c r="AK29">
        <v>0</v>
      </c>
      <c r="AL29">
        <v>424.60000000000002</v>
      </c>
      <c r="AM29">
        <v>1454.4200000000001</v>
      </c>
      <c r="AN29">
        <v>266.89999999999998</v>
      </c>
      <c r="AO29">
        <v>1937.1500000000001</v>
      </c>
      <c r="AP29">
        <v>3015.1199999999999</v>
      </c>
      <c r="AQ29" s="1">
        <v>2071.52</v>
      </c>
      <c r="AR29" s="1">
        <v>2805.6700000000001</v>
      </c>
      <c r="AS29" s="1">
        <v>182.11000000000001</v>
      </c>
      <c r="AT29" s="1">
        <v>288.12</v>
      </c>
      <c r="AU29">
        <v>0</v>
      </c>
      <c r="AV29" s="1">
        <v>55.969999999999999</v>
      </c>
      <c r="AW29" s="1">
        <v>4424.5600000000004</v>
      </c>
      <c r="AX29" s="1">
        <v>1935.5699999999999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3">
        <v>6822</v>
      </c>
      <c r="BE29">
        <v>14</v>
      </c>
      <c r="BF29" s="1">
        <v>948510.01000000001</v>
      </c>
      <c r="BG29">
        <v>138</v>
      </c>
      <c r="BH29" s="1">
        <v>34914.629999999997</v>
      </c>
      <c r="BI29" s="1">
        <v>408944.28000000003</v>
      </c>
      <c r="BJ29" s="3">
        <v>16624</v>
      </c>
      <c r="BK29" s="1">
        <v>99138.220000000001</v>
      </c>
      <c r="BL29" s="1">
        <v>75597.009999999995</v>
      </c>
      <c r="BM29" s="1">
        <v>27536.689999999999</v>
      </c>
      <c r="BN29" s="1">
        <v>55566.559999999998</v>
      </c>
      <c r="BO29" s="1">
        <v>26145.549999999999</v>
      </c>
      <c r="BP29">
        <v>1417</v>
      </c>
      <c r="BQ29">
        <v>787</v>
      </c>
      <c r="BR29">
        <v>2824</v>
      </c>
      <c r="BS29">
        <v>823</v>
      </c>
      <c r="BT29">
        <v>284</v>
      </c>
      <c r="BU29" s="1">
        <v>88660.259999999995</v>
      </c>
      <c r="BV29" s="4">
        <v>0.26939906894423371</v>
      </c>
      <c r="BW29" s="1">
        <v>1935.5699999999999</v>
      </c>
      <c r="BX29" s="1">
        <v>55287.770000000004</v>
      </c>
      <c r="BY29" s="5">
        <v>0.16799492537020463</v>
      </c>
      <c r="BZ29" s="1">
        <v>25970.639999999999</v>
      </c>
      <c r="CA29" s="5">
        <v>0.078913215863407965</v>
      </c>
      <c r="CB29" s="1">
        <v>5714.3399999999992</v>
      </c>
      <c r="CC29" s="1">
        <v>0</v>
      </c>
      <c r="CD29" s="1">
        <v>1687.51</v>
      </c>
      <c r="CE29" s="1">
        <v>858.41999999995687</v>
      </c>
      <c r="CF29" s="1">
        <v>48.241543535620053</v>
      </c>
      <c r="CG29" s="17">
        <v>2.4368220463207271</v>
      </c>
      <c r="CH29" s="5">
        <v>0.69406185239848783</v>
      </c>
      <c r="CI29" s="5">
        <v>0.0026083563116451216</v>
      </c>
      <c r="CJ29" s="18">
        <f t="shared" si="3"/>
        <v>-1077.1500000000431</v>
      </c>
      <c r="CK29" s="19">
        <f t="shared" si="4"/>
        <v>-0.0032729794285883324</v>
      </c>
    </row>
    <row r="30">
      <c r="A30" t="s">
        <v>97</v>
      </c>
      <c r="B30" s="16">
        <v>22082397000221</v>
      </c>
      <c r="C30" t="s">
        <v>103</v>
      </c>
      <c r="D30" t="s">
        <v>91</v>
      </c>
      <c r="E30" t="s">
        <v>92</v>
      </c>
      <c r="F30" t="s">
        <v>93</v>
      </c>
      <c r="G30" s="1">
        <v>314154.33000000002</v>
      </c>
      <c r="H30" s="1">
        <v>198938.85999999999</v>
      </c>
      <c r="I30" s="5">
        <f t="shared" si="0"/>
        <v>0.38772461587338547</v>
      </c>
      <c r="J30" s="1">
        <v>7487.7600000000002</v>
      </c>
      <c r="K30" s="1">
        <v>4107.5500000000002</v>
      </c>
      <c r="L30" s="1">
        <v>215411.03</v>
      </c>
      <c r="M30" s="1">
        <f t="shared" si="1"/>
        <v>98743.300000000017</v>
      </c>
      <c r="N30" s="5">
        <f t="shared" si="2"/>
        <v>0.31431462364373591</v>
      </c>
      <c r="O30" s="1">
        <v>7320.3699999999999</v>
      </c>
      <c r="P30" s="1">
        <v>990</v>
      </c>
      <c r="Q30">
        <v>0</v>
      </c>
      <c r="R30">
        <v>28853.259999999998</v>
      </c>
      <c r="S30">
        <v>13041.6</v>
      </c>
      <c r="T30">
        <v>3205.5999999999999</v>
      </c>
      <c r="U30">
        <v>3099.21</v>
      </c>
      <c r="V30">
        <v>3367.1199999999999</v>
      </c>
      <c r="W30">
        <v>2719.1100000000001</v>
      </c>
      <c r="X30">
        <v>0</v>
      </c>
      <c r="Y30">
        <v>0</v>
      </c>
      <c r="Z30">
        <v>1714.22</v>
      </c>
      <c r="AA30">
        <v>385.08999999999997</v>
      </c>
      <c r="AB30">
        <v>132</v>
      </c>
      <c r="AC30">
        <v>1586.8099999999999</v>
      </c>
      <c r="AD30">
        <v>2157.5999999999999</v>
      </c>
      <c r="AE30">
        <v>9.3699999999999992</v>
      </c>
      <c r="AF30">
        <v>0</v>
      </c>
      <c r="AG30">
        <v>623.36000000000001</v>
      </c>
      <c r="AH30">
        <v>681.82000000000005</v>
      </c>
      <c r="AI30">
        <v>11423.02</v>
      </c>
      <c r="AJ30">
        <v>2641.6900000000001</v>
      </c>
      <c r="AK30">
        <v>0</v>
      </c>
      <c r="AL30">
        <v>426.58999999999997</v>
      </c>
      <c r="AM30">
        <v>862.44000000000005</v>
      </c>
      <c r="AN30">
        <v>571.14999999999998</v>
      </c>
      <c r="AO30">
        <v>785.58000000000004</v>
      </c>
      <c r="AP30">
        <v>61.649999999999999</v>
      </c>
      <c r="AQ30" s="1">
        <v>3014.1500000000001</v>
      </c>
      <c r="AR30" s="1">
        <v>1791.49</v>
      </c>
      <c r="AS30" s="1">
        <v>0</v>
      </c>
      <c r="AT30" s="1">
        <v>289.63</v>
      </c>
      <c r="AU30">
        <v>0</v>
      </c>
      <c r="AV30" s="1">
        <v>50.189999999999998</v>
      </c>
      <c r="AW30" s="1">
        <v>1817.3699999999999</v>
      </c>
      <c r="AX30" s="1">
        <v>1068.72</v>
      </c>
      <c r="AY30" s="1">
        <v>9783.4500000000007</v>
      </c>
      <c r="AZ30" s="1">
        <v>0</v>
      </c>
      <c r="BA30" s="1">
        <v>0</v>
      </c>
      <c r="BB30" s="1">
        <v>0</v>
      </c>
      <c r="BC30" s="1">
        <v>0</v>
      </c>
      <c r="BD30" s="3">
        <v>6427</v>
      </c>
      <c r="BE30">
        <v>13</v>
      </c>
      <c r="BF30" s="1">
        <v>983052.39000000001</v>
      </c>
      <c r="BG30">
        <v>131.12</v>
      </c>
      <c r="BH30" s="1">
        <v>44996.620000000003</v>
      </c>
      <c r="BI30" s="1">
        <v>427967.17999999999</v>
      </c>
      <c r="BJ30" s="3">
        <v>15930</v>
      </c>
      <c r="BK30" s="1">
        <v>97375.910000000003</v>
      </c>
      <c r="BL30" s="1">
        <v>73998.779999999999</v>
      </c>
      <c r="BM30" s="1">
        <v>25811.75</v>
      </c>
      <c r="BN30" s="1">
        <v>52357.639999999999</v>
      </c>
      <c r="BO30" s="1">
        <v>26250.540000000001</v>
      </c>
      <c r="BP30">
        <v>1429</v>
      </c>
      <c r="BQ30">
        <v>772</v>
      </c>
      <c r="BR30">
        <v>2719</v>
      </c>
      <c r="BS30">
        <v>830</v>
      </c>
      <c r="BT30">
        <v>284</v>
      </c>
      <c r="BU30" s="1">
        <v>83153.929999999993</v>
      </c>
      <c r="BV30" s="4">
        <v>0.26469133817127394</v>
      </c>
      <c r="BW30" s="1">
        <v>10852.17</v>
      </c>
      <c r="BX30" s="1">
        <v>54285.900000000001</v>
      </c>
      <c r="BY30" s="5">
        <v>0.17280010114773844</v>
      </c>
      <c r="BZ30" s="1">
        <v>21577.760000000006</v>
      </c>
      <c r="CA30" s="5">
        <v>0.068685222323690412</v>
      </c>
      <c r="CB30" s="1">
        <v>5985.0899999999992</v>
      </c>
      <c r="CC30" s="1">
        <v>0</v>
      </c>
      <c r="CD30" s="1">
        <v>1305.1800000000001</v>
      </c>
      <c r="CE30" s="1">
        <v>-2738.3799999999701</v>
      </c>
      <c r="CF30" s="1">
        <v>48.880399875525129</v>
      </c>
      <c r="CG30" s="17">
        <v>2.4786058814376846</v>
      </c>
      <c r="CH30" s="5">
        <v>0.68568537635626414</v>
      </c>
      <c r="CI30" s="5">
        <v>-0.0087166711978789845</v>
      </c>
      <c r="CJ30" s="18">
        <f t="shared" si="3"/>
        <v>-13590.54999999997</v>
      </c>
      <c r="CK30" s="19">
        <f t="shared" si="4"/>
        <v>-0.043260743851596666</v>
      </c>
    </row>
    <row r="31">
      <c r="A31" t="s">
        <v>98</v>
      </c>
      <c r="B31" s="16">
        <v>22082397000221</v>
      </c>
      <c r="C31" t="s">
        <v>103</v>
      </c>
      <c r="D31" t="s">
        <v>91</v>
      </c>
      <c r="E31" t="s">
        <v>92</v>
      </c>
      <c r="F31" t="s">
        <v>93</v>
      </c>
      <c r="G31" s="1">
        <v>300605.83000000002</v>
      </c>
      <c r="H31" s="1">
        <v>181615.23000000001</v>
      </c>
      <c r="I31" s="5">
        <f t="shared" si="0"/>
        <v>0.37662235241239772</v>
      </c>
      <c r="J31" s="1">
        <v>12693.9</v>
      </c>
      <c r="K31" s="1">
        <v>2906.5999999999999</v>
      </c>
      <c r="L31" s="1">
        <v>210391.89999999999</v>
      </c>
      <c r="M31" s="1">
        <f t="shared" si="1"/>
        <v>90213.930000000022</v>
      </c>
      <c r="N31" s="5">
        <f t="shared" si="2"/>
        <v>0.30010705381196373</v>
      </c>
      <c r="O31" s="1">
        <v>2862.3800000000001</v>
      </c>
      <c r="P31" s="1">
        <v>399</v>
      </c>
      <c r="Q31">
        <v>0</v>
      </c>
      <c r="R31">
        <v>29580.599999999999</v>
      </c>
      <c r="S31">
        <v>12808.540000000001</v>
      </c>
      <c r="T31">
        <v>3286.4000000000001</v>
      </c>
      <c r="U31">
        <v>3512.8600000000001</v>
      </c>
      <c r="V31">
        <v>3411.4099999999999</v>
      </c>
      <c r="W31">
        <v>2836.98</v>
      </c>
      <c r="X31">
        <v>0</v>
      </c>
      <c r="Y31">
        <v>0</v>
      </c>
      <c r="Z31">
        <v>1714.22</v>
      </c>
      <c r="AA31">
        <v>385.08999999999997</v>
      </c>
      <c r="AB31">
        <v>46.689999999999998</v>
      </c>
      <c r="AC31">
        <v>1586.8099999999999</v>
      </c>
      <c r="AD31">
        <v>3010.0599999999999</v>
      </c>
      <c r="AE31">
        <v>9.3699999999999992</v>
      </c>
      <c r="AF31">
        <v>278.35000000000002</v>
      </c>
      <c r="AG31">
        <v>327.01999999999998</v>
      </c>
      <c r="AH31">
        <v>613.82000000000005</v>
      </c>
      <c r="AI31">
        <v>11461.98</v>
      </c>
      <c r="AJ31">
        <v>3723.0999999999999</v>
      </c>
      <c r="AK31">
        <v>0</v>
      </c>
      <c r="AL31">
        <v>431.61000000000001</v>
      </c>
      <c r="AM31">
        <v>1994.6800000000001</v>
      </c>
      <c r="AN31">
        <v>439.88</v>
      </c>
      <c r="AO31">
        <v>1084.9300000000001</v>
      </c>
      <c r="AP31">
        <v>262.48000000000002</v>
      </c>
      <c r="AQ31" s="1">
        <v>2765.9400000000001</v>
      </c>
      <c r="AR31" s="1">
        <v>2396.21</v>
      </c>
      <c r="AS31" s="1">
        <v>38.359999999999999</v>
      </c>
      <c r="AT31" s="1">
        <v>236.80000000000001</v>
      </c>
      <c r="AU31">
        <v>0</v>
      </c>
      <c r="AV31" s="1">
        <v>65.109999999999999</v>
      </c>
      <c r="AW31" s="1">
        <v>0</v>
      </c>
      <c r="AX31" s="1">
        <v>1668.98</v>
      </c>
      <c r="AY31" s="1">
        <v>1257.5999999999999</v>
      </c>
      <c r="AZ31" s="1">
        <v>1455.1500000000001</v>
      </c>
      <c r="BA31" s="1">
        <v>0</v>
      </c>
      <c r="BB31" s="1">
        <v>0</v>
      </c>
      <c r="BC31" s="1">
        <v>0</v>
      </c>
      <c r="BD31" s="3">
        <v>6073</v>
      </c>
      <c r="BE31">
        <v>12</v>
      </c>
      <c r="BF31" s="1">
        <v>952390.31000000006</v>
      </c>
      <c r="BG31">
        <v>131.12</v>
      </c>
      <c r="BH31" s="1">
        <v>43327.309999999998</v>
      </c>
      <c r="BI31" s="1">
        <v>385633.73999999999</v>
      </c>
      <c r="BJ31" s="3">
        <v>14546</v>
      </c>
      <c r="BK31" s="1">
        <v>99146.160000000003</v>
      </c>
      <c r="BL31" s="1">
        <v>69950.350000000006</v>
      </c>
      <c r="BM31" s="1">
        <v>21728.290000000001</v>
      </c>
      <c r="BN31" s="1">
        <v>47342.089999999997</v>
      </c>
      <c r="BO31" s="1">
        <v>22734.380000000001</v>
      </c>
      <c r="BP31">
        <v>1433</v>
      </c>
      <c r="BQ31">
        <v>809</v>
      </c>
      <c r="BR31">
        <v>2779</v>
      </c>
      <c r="BS31">
        <v>900</v>
      </c>
      <c r="BT31">
        <v>282</v>
      </c>
      <c r="BU31" s="1">
        <v>87969.029999999999</v>
      </c>
      <c r="BV31" s="4">
        <v>0.29263913477659431</v>
      </c>
      <c r="BW31" s="1">
        <v>4381.7299999999996</v>
      </c>
      <c r="BX31" s="1">
        <v>55436.790000000001</v>
      </c>
      <c r="BY31" s="5">
        <v>0.18441688240045112</v>
      </c>
      <c r="BZ31" s="1">
        <v>24560.809999999998</v>
      </c>
      <c r="CA31" s="5">
        <v>0.081704370138130714</v>
      </c>
      <c r="CB31" s="1">
        <v>6752.2399999999998</v>
      </c>
      <c r="CC31" s="1">
        <v>0</v>
      </c>
      <c r="CD31" s="1">
        <v>1219.1900000000001</v>
      </c>
      <c r="CE31" s="1">
        <v>-16827.029999999981</v>
      </c>
      <c r="CF31" s="1">
        <v>49.498737032767991</v>
      </c>
      <c r="CG31" s="17">
        <v>2.3951918327021242</v>
      </c>
      <c r="CH31" s="5">
        <v>0.69989294618803632</v>
      </c>
      <c r="CI31" s="5">
        <v>-0.055977058063045482</v>
      </c>
      <c r="CJ31" s="18">
        <f t="shared" si="3"/>
        <v>-21208.75999999998</v>
      </c>
      <c r="CK31" s="19">
        <f t="shared" si="4"/>
        <v>-0.070553388801541134</v>
      </c>
    </row>
    <row r="32">
      <c r="A32" t="s">
        <v>89</v>
      </c>
      <c r="B32" s="16">
        <v>22082397000302</v>
      </c>
      <c r="C32" t="s">
        <v>104</v>
      </c>
      <c r="D32" t="s">
        <v>91</v>
      </c>
      <c r="E32" t="s">
        <v>92</v>
      </c>
      <c r="F32" t="s">
        <v>93</v>
      </c>
      <c r="G32" s="1">
        <v>459754.62</v>
      </c>
      <c r="H32" s="1">
        <v>239291.82999999999</v>
      </c>
      <c r="I32" s="5">
        <f t="shared" si="0"/>
        <v>0.34231177341648755</v>
      </c>
      <c r="J32" s="1">
        <v>8024.29</v>
      </c>
      <c r="K32" s="1">
        <v>4985.4899999999998</v>
      </c>
      <c r="L32" s="1">
        <v>304737.88</v>
      </c>
      <c r="M32" s="1">
        <f t="shared" si="1"/>
        <v>155016.73999999999</v>
      </c>
      <c r="N32" s="5">
        <f t="shared" si="2"/>
        <v>0.33717277272820007</v>
      </c>
      <c r="O32" s="1">
        <v>3782.7399999999998</v>
      </c>
      <c r="P32" s="1">
        <v>0</v>
      </c>
      <c r="Q32">
        <v>0</v>
      </c>
      <c r="R32">
        <v>32698.720000000001</v>
      </c>
      <c r="S32">
        <v>9475.1800000000003</v>
      </c>
      <c r="T32">
        <v>3383.5500000000002</v>
      </c>
      <c r="U32">
        <v>2348.2600000000002</v>
      </c>
      <c r="V32">
        <v>2877.5500000000002</v>
      </c>
      <c r="W32">
        <v>2150.1500000000001</v>
      </c>
      <c r="X32">
        <v>1412</v>
      </c>
      <c r="Y32">
        <v>0</v>
      </c>
      <c r="Z32">
        <v>1566.0599999999999</v>
      </c>
      <c r="AA32">
        <v>217</v>
      </c>
      <c r="AB32">
        <v>0</v>
      </c>
      <c r="AC32">
        <v>1586.8099999999999</v>
      </c>
      <c r="AD32">
        <v>1840.98</v>
      </c>
      <c r="AE32">
        <v>9.3699999999999992</v>
      </c>
      <c r="AF32">
        <v>77.769999999999996</v>
      </c>
      <c r="AG32">
        <v>311.81</v>
      </c>
      <c r="AH32">
        <v>1320.3199999999999</v>
      </c>
      <c r="AI32">
        <v>8818.9799999999996</v>
      </c>
      <c r="AJ32">
        <v>4822.3900000000003</v>
      </c>
      <c r="AK32">
        <v>120.02</v>
      </c>
      <c r="AL32">
        <v>268.87</v>
      </c>
      <c r="AM32">
        <v>260.06</v>
      </c>
      <c r="AN32">
        <v>203.09999999999999</v>
      </c>
      <c r="AO32">
        <v>757.86000000000001</v>
      </c>
      <c r="AP32">
        <v>54.079999999999998</v>
      </c>
      <c r="AQ32" s="1">
        <v>815.59000000000003</v>
      </c>
      <c r="AR32" s="1">
        <v>907.37</v>
      </c>
      <c r="AS32" s="1">
        <v>0</v>
      </c>
      <c r="AT32" s="1">
        <v>231.38999999999999</v>
      </c>
      <c r="AU32">
        <v>0</v>
      </c>
      <c r="AV32" s="1">
        <v>77.810000000000002</v>
      </c>
      <c r="AW32" s="1">
        <v>3928.1900000000001</v>
      </c>
      <c r="AX32" s="1">
        <v>1340.03</v>
      </c>
      <c r="AY32" s="1">
        <v>754.03999999999996</v>
      </c>
      <c r="AZ32" s="1">
        <v>357.39999999999998</v>
      </c>
      <c r="BA32" s="1">
        <v>0</v>
      </c>
      <c r="BB32" s="1">
        <v>1935.99</v>
      </c>
      <c r="BC32" s="1">
        <v>5083.8900000000003</v>
      </c>
      <c r="BD32" s="3">
        <v>11296</v>
      </c>
      <c r="BE32">
        <v>14</v>
      </c>
      <c r="BF32" s="1">
        <v>1151711.3799999999</v>
      </c>
      <c r="BG32">
        <v>59</v>
      </c>
      <c r="BH32" s="1">
        <v>0</v>
      </c>
      <c r="BI32" s="1">
        <v>534145.12</v>
      </c>
      <c r="BJ32" s="3">
        <v>27907</v>
      </c>
      <c r="BK32" s="1">
        <v>114155.85000000001</v>
      </c>
      <c r="BL32" s="1">
        <v>89130.800000000003</v>
      </c>
      <c r="BM32" s="1">
        <v>42451.220000000001</v>
      </c>
      <c r="BN32" s="1">
        <v>109048.96000000001</v>
      </c>
      <c r="BO32" s="1">
        <v>51597.230000000003</v>
      </c>
      <c r="BP32">
        <v>1422</v>
      </c>
      <c r="BQ32">
        <v>807</v>
      </c>
      <c r="BR32">
        <v>3086</v>
      </c>
      <c r="BS32">
        <v>1126</v>
      </c>
      <c r="BT32">
        <v>308</v>
      </c>
      <c r="BU32" s="1">
        <v>78303.850000000006</v>
      </c>
      <c r="BV32" s="4">
        <v>0.1703166136753558</v>
      </c>
      <c r="BW32" s="1">
        <v>9471.3500000000004</v>
      </c>
      <c r="BX32" s="1">
        <v>52933.410000000011</v>
      </c>
      <c r="BY32" s="5">
        <v>0.11513404694008297</v>
      </c>
      <c r="BZ32" s="1">
        <v>17028.32</v>
      </c>
      <c r="CA32" s="5">
        <v>0.037037844230907349</v>
      </c>
      <c r="CB32" s="1">
        <v>5220.2200000000003</v>
      </c>
      <c r="CC32" s="1">
        <v>1412</v>
      </c>
      <c r="CD32" s="1">
        <v>1709.8999999999999</v>
      </c>
      <c r="CE32" s="1">
        <v>63694.980000000054</v>
      </c>
      <c r="CF32" s="1">
        <v>40.700656869688387</v>
      </c>
      <c r="CG32" s="17">
        <v>2.4705205382436262</v>
      </c>
      <c r="CH32" s="5">
        <v>0.66282722727179988</v>
      </c>
      <c r="CI32" s="5">
        <v>0.13854125054795546</v>
      </c>
      <c r="CJ32" s="18">
        <f t="shared" si="3"/>
        <v>54223.630000000056</v>
      </c>
      <c r="CK32" s="19">
        <f t="shared" si="4"/>
        <v>0.11794037001738027</v>
      </c>
    </row>
    <row r="33">
      <c r="A33" t="s">
        <v>94</v>
      </c>
      <c r="B33" s="16">
        <v>22082397000302</v>
      </c>
      <c r="C33" t="s">
        <v>104</v>
      </c>
      <c r="D33" t="s">
        <v>91</v>
      </c>
      <c r="E33" t="s">
        <v>92</v>
      </c>
      <c r="F33" t="s">
        <v>93</v>
      </c>
      <c r="G33" s="1">
        <v>441360.96000000002</v>
      </c>
      <c r="H33" s="1">
        <v>239017.48999999999</v>
      </c>
      <c r="I33" s="5">
        <f t="shared" si="0"/>
        <v>0.35130079443286305</v>
      </c>
      <c r="J33" s="1">
        <v>8463.3899999999994</v>
      </c>
      <c r="K33" s="1">
        <v>5781.54</v>
      </c>
      <c r="L33" s="1">
        <v>294108</v>
      </c>
      <c r="M33" s="1">
        <f t="shared" si="1"/>
        <v>147252.96000000002</v>
      </c>
      <c r="N33" s="5">
        <f t="shared" si="2"/>
        <v>0.33363385832766002</v>
      </c>
      <c r="O33" s="1">
        <v>3582.71</v>
      </c>
      <c r="P33" s="1">
        <v>0</v>
      </c>
      <c r="Q33">
        <v>0</v>
      </c>
      <c r="R33">
        <v>25710.560000000001</v>
      </c>
      <c r="S33">
        <v>11820.09</v>
      </c>
      <c r="T33">
        <v>2794.1100000000001</v>
      </c>
      <c r="U33">
        <v>2908.3600000000001</v>
      </c>
      <c r="V33">
        <v>3824.98</v>
      </c>
      <c r="W33">
        <v>2562.5100000000002</v>
      </c>
      <c r="X33">
        <v>0</v>
      </c>
      <c r="Y33">
        <v>0</v>
      </c>
      <c r="Z33">
        <v>1564.22</v>
      </c>
      <c r="AA33">
        <v>385.08999999999997</v>
      </c>
      <c r="AB33">
        <v>59.310000000000002</v>
      </c>
      <c r="AC33">
        <v>1640.1400000000001</v>
      </c>
      <c r="AD33">
        <v>1808.8499999999999</v>
      </c>
      <c r="AE33">
        <v>9.3699999999999992</v>
      </c>
      <c r="AF33">
        <v>17.469999999999999</v>
      </c>
      <c r="AG33">
        <v>596.41999999999996</v>
      </c>
      <c r="AH33">
        <v>156.72</v>
      </c>
      <c r="AI33">
        <v>8818.9799999999996</v>
      </c>
      <c r="AJ33">
        <v>5128.0299999999997</v>
      </c>
      <c r="AK33">
        <v>120.02</v>
      </c>
      <c r="AL33">
        <v>277.20999999999998</v>
      </c>
      <c r="AM33">
        <v>324.70999999999998</v>
      </c>
      <c r="AN33">
        <v>524.76999999999998</v>
      </c>
      <c r="AO33">
        <v>664.15999999999997</v>
      </c>
      <c r="AP33">
        <v>1858.5899999999999</v>
      </c>
      <c r="AQ33" s="1">
        <v>1621.52</v>
      </c>
      <c r="AR33" s="1">
        <v>609.49000000000001</v>
      </c>
      <c r="AS33" s="1">
        <v>175.03999999999999</v>
      </c>
      <c r="AT33" s="1">
        <v>247.5</v>
      </c>
      <c r="AU33">
        <v>0</v>
      </c>
      <c r="AV33" s="1">
        <v>82.409999999999997</v>
      </c>
      <c r="AW33" s="1">
        <v>3928.1900000000001</v>
      </c>
      <c r="AX33" s="1">
        <v>606.61000000000001</v>
      </c>
      <c r="AY33" s="1">
        <v>7202</v>
      </c>
      <c r="AZ33" s="1">
        <v>6.4800000000000004</v>
      </c>
      <c r="BA33" s="1">
        <v>0</v>
      </c>
      <c r="BB33" s="1">
        <v>240.05000000000001</v>
      </c>
      <c r="BC33" s="1">
        <v>5000</v>
      </c>
      <c r="BD33" s="3">
        <v>10921</v>
      </c>
      <c r="BE33">
        <v>13</v>
      </c>
      <c r="BF33" s="1">
        <v>1173862.6499999999</v>
      </c>
      <c r="BG33">
        <v>59</v>
      </c>
      <c r="BH33" s="1">
        <v>0</v>
      </c>
      <c r="BI33" s="1">
        <v>579017.18999999994</v>
      </c>
      <c r="BJ33" s="3">
        <v>26966</v>
      </c>
      <c r="BK33" s="1">
        <v>118285.92</v>
      </c>
      <c r="BL33" s="1">
        <v>85480.940000000002</v>
      </c>
      <c r="BM33" s="1">
        <v>45034.75</v>
      </c>
      <c r="BN33" s="1">
        <v>101716.07000000001</v>
      </c>
      <c r="BO33" s="1">
        <v>46105.739999999998</v>
      </c>
      <c r="BP33">
        <v>1437</v>
      </c>
      <c r="BQ33">
        <v>830</v>
      </c>
      <c r="BR33">
        <v>3097</v>
      </c>
      <c r="BS33">
        <v>1090</v>
      </c>
      <c r="BT33">
        <v>315</v>
      </c>
      <c r="BU33" s="1">
        <v>75805.680000000037</v>
      </c>
      <c r="BV33" s="4">
        <v>0.17175438443853311</v>
      </c>
      <c r="BW33" s="1">
        <v>13055.139999999999</v>
      </c>
      <c r="BX33" s="1">
        <v>49620.610000000008</v>
      </c>
      <c r="BY33" s="5">
        <v>0.11242636865752695</v>
      </c>
      <c r="BZ33" s="1">
        <v>19947.48</v>
      </c>
      <c r="CA33" s="5">
        <v>0.045195388373271618</v>
      </c>
      <c r="CB33" s="1">
        <v>5466.9800000000005</v>
      </c>
      <c r="CC33" s="1">
        <v>0</v>
      </c>
      <c r="CD33" s="1">
        <v>770.61000000000001</v>
      </c>
      <c r="CE33" s="1">
        <v>57207.700000000055</v>
      </c>
      <c r="CF33" s="1">
        <v>40.413969416720086</v>
      </c>
      <c r="CG33" s="17">
        <v>2.469187803314715</v>
      </c>
      <c r="CH33" s="5">
        <v>0.66636614167233998</v>
      </c>
      <c r="CI33" s="5">
        <v>0.12961658412198498</v>
      </c>
      <c r="CJ33" s="18">
        <f t="shared" si="3"/>
        <v>44152.560000000056</v>
      </c>
      <c r="CK33" s="19">
        <f t="shared" si="4"/>
        <v>0.10003730280086406</v>
      </c>
    </row>
    <row r="34">
      <c r="A34" t="s">
        <v>95</v>
      </c>
      <c r="B34" s="16">
        <v>22082397000302</v>
      </c>
      <c r="C34" t="s">
        <v>104</v>
      </c>
      <c r="D34" t="s">
        <v>91</v>
      </c>
      <c r="E34" t="s">
        <v>92</v>
      </c>
      <c r="F34" t="s">
        <v>93</v>
      </c>
      <c r="G34" s="1">
        <v>440017.82000000001</v>
      </c>
      <c r="H34" s="1">
        <v>259389.54999999999</v>
      </c>
      <c r="I34" s="5">
        <f t="shared" si="0"/>
        <v>0.37087048425011593</v>
      </c>
      <c r="J34" s="1">
        <v>16521.849999999999</v>
      </c>
      <c r="K34" s="1">
        <v>4622.3500000000004</v>
      </c>
      <c r="L34" s="1">
        <v>288150.22999999998</v>
      </c>
      <c r="M34" s="1">
        <f t="shared" si="1"/>
        <v>151867.59000000003</v>
      </c>
      <c r="N34" s="5">
        <f t="shared" si="2"/>
        <v>0.34513963548112669</v>
      </c>
      <c r="O34" s="1">
        <v>4016.8499999999999</v>
      </c>
      <c r="P34" s="1">
        <v>299</v>
      </c>
      <c r="Q34">
        <v>0</v>
      </c>
      <c r="R34">
        <v>48908.510000000002</v>
      </c>
      <c r="S34">
        <v>11531.629999999999</v>
      </c>
      <c r="T34">
        <v>5433.7399999999998</v>
      </c>
      <c r="U34">
        <v>2732.5999999999999</v>
      </c>
      <c r="V34">
        <v>3570.3699999999999</v>
      </c>
      <c r="W34">
        <v>2191.6300000000001</v>
      </c>
      <c r="X34">
        <v>0</v>
      </c>
      <c r="Y34">
        <v>0</v>
      </c>
      <c r="Z34">
        <v>1564.22</v>
      </c>
      <c r="AA34">
        <v>385.08999999999997</v>
      </c>
      <c r="AB34">
        <v>0</v>
      </c>
      <c r="AC34">
        <v>1729.99</v>
      </c>
      <c r="AD34">
        <v>1884.55</v>
      </c>
      <c r="AE34">
        <v>9.3699999999999992</v>
      </c>
      <c r="AF34">
        <v>0</v>
      </c>
      <c r="AG34">
        <v>506.04000000000002</v>
      </c>
      <c r="AH34">
        <v>463.63999999999999</v>
      </c>
      <c r="AI34">
        <v>8818.9799999999996</v>
      </c>
      <c r="AJ34">
        <v>3195.5599999999999</v>
      </c>
      <c r="AK34">
        <v>120.02</v>
      </c>
      <c r="AL34">
        <v>271.64999999999998</v>
      </c>
      <c r="AM34">
        <v>3465.02</v>
      </c>
      <c r="AN34">
        <v>318.30000000000001</v>
      </c>
      <c r="AO34">
        <v>684.36000000000001</v>
      </c>
      <c r="AP34">
        <v>46.229999999999997</v>
      </c>
      <c r="AQ34" s="1">
        <v>2520.3699999999999</v>
      </c>
      <c r="AR34" s="1">
        <v>958.22000000000003</v>
      </c>
      <c r="AS34" s="1">
        <v>0</v>
      </c>
      <c r="AT34" s="1">
        <v>257.44999999999999</v>
      </c>
      <c r="AU34">
        <v>0</v>
      </c>
      <c r="AV34" s="1">
        <v>67.840000000000003</v>
      </c>
      <c r="AW34" s="1">
        <v>2748.5599999999999</v>
      </c>
      <c r="AX34" s="1">
        <v>950.73000000000002</v>
      </c>
      <c r="AY34" s="1">
        <v>629.51999999999998</v>
      </c>
      <c r="AZ34" s="1">
        <v>6.4800000000000004</v>
      </c>
      <c r="BA34" s="1">
        <v>0</v>
      </c>
      <c r="BB34" s="1">
        <v>5395.21</v>
      </c>
      <c r="BC34" s="1">
        <v>0</v>
      </c>
      <c r="BD34" s="3">
        <v>10916</v>
      </c>
      <c r="BE34">
        <v>14</v>
      </c>
      <c r="BF34" s="1">
        <v>1221632.97</v>
      </c>
      <c r="BG34">
        <v>59</v>
      </c>
      <c r="BH34" s="1">
        <v>0</v>
      </c>
      <c r="BI34" s="1">
        <v>500429.67999999999</v>
      </c>
      <c r="BJ34" s="3">
        <v>26795</v>
      </c>
      <c r="BK34" s="1">
        <v>110711.61</v>
      </c>
      <c r="BL34" s="1">
        <v>87315.699999999997</v>
      </c>
      <c r="BM34" s="1">
        <v>49101.089999999997</v>
      </c>
      <c r="BN34" s="1">
        <v>96236.679999999993</v>
      </c>
      <c r="BO34" s="1">
        <v>51062.629999999997</v>
      </c>
      <c r="BP34">
        <v>1436</v>
      </c>
      <c r="BQ34">
        <v>852</v>
      </c>
      <c r="BR34">
        <v>3103</v>
      </c>
      <c r="BS34">
        <v>1066</v>
      </c>
      <c r="BT34">
        <v>324</v>
      </c>
      <c r="BU34" s="1">
        <v>101310.09</v>
      </c>
      <c r="BV34" s="4">
        <v>0.23024087978982305</v>
      </c>
      <c r="BW34" s="1">
        <v>6981.9400000000005</v>
      </c>
      <c r="BX34" s="1">
        <v>74368.48000000001</v>
      </c>
      <c r="BY34" s="5">
        <v>0.16901242772394992</v>
      </c>
      <c r="BZ34" s="1">
        <v>20398.709999999999</v>
      </c>
      <c r="CA34" s="5">
        <v>0.04635882701296052</v>
      </c>
      <c r="CB34" s="1">
        <v>5573.2200000000003</v>
      </c>
      <c r="CC34" s="1">
        <v>0</v>
      </c>
      <c r="CD34" s="1">
        <v>969.68000000000006</v>
      </c>
      <c r="CE34" s="1">
        <v>27656.40000000006</v>
      </c>
      <c r="CF34" s="1">
        <v>40.309437522902165</v>
      </c>
      <c r="CG34" s="17">
        <v>2.4546537193111031</v>
      </c>
      <c r="CH34" s="5">
        <v>0.65486036451887331</v>
      </c>
      <c r="CI34" s="5">
        <v>0.062852909002640067</v>
      </c>
      <c r="CJ34" s="18">
        <f t="shared" si="3"/>
        <v>20674.460000000057</v>
      </c>
      <c r="CK34" s="19">
        <f t="shared" si="4"/>
        <v>0.046985506177909017</v>
      </c>
    </row>
    <row r="35">
      <c r="A35" t="s">
        <v>96</v>
      </c>
      <c r="B35" s="16">
        <v>22082397000302</v>
      </c>
      <c r="C35" t="s">
        <v>104</v>
      </c>
      <c r="D35" t="s">
        <v>91</v>
      </c>
      <c r="E35" t="s">
        <v>92</v>
      </c>
      <c r="F35" t="s">
        <v>93</v>
      </c>
      <c r="G35" s="1">
        <v>445171.88</v>
      </c>
      <c r="H35" s="1">
        <v>247268.13</v>
      </c>
      <c r="I35" s="5">
        <f t="shared" si="0"/>
        <v>0.3570968263373458</v>
      </c>
      <c r="J35" s="1">
        <v>10021.389999999999</v>
      </c>
      <c r="K35" s="1">
        <v>5961.0699999999997</v>
      </c>
      <c r="L35" s="1">
        <v>294378.65999999997</v>
      </c>
      <c r="M35" s="1">
        <f t="shared" si="1"/>
        <v>150793.22000000003</v>
      </c>
      <c r="N35" s="5">
        <f t="shared" si="2"/>
        <v>0.33873033489896087</v>
      </c>
      <c r="O35" s="1">
        <v>3938.6500000000001</v>
      </c>
      <c r="P35" s="1">
        <v>152.93000000000001</v>
      </c>
      <c r="Q35">
        <v>0</v>
      </c>
      <c r="R35">
        <v>27449.529999999999</v>
      </c>
      <c r="S35">
        <v>14168.370000000001</v>
      </c>
      <c r="T35">
        <v>3049.6399999999999</v>
      </c>
      <c r="U35">
        <v>3593.1799999999998</v>
      </c>
      <c r="V35">
        <v>3304.1900000000001</v>
      </c>
      <c r="W35">
        <v>2200.3899999999999</v>
      </c>
      <c r="X35">
        <v>0</v>
      </c>
      <c r="Y35">
        <v>0</v>
      </c>
      <c r="Z35">
        <v>1564.22</v>
      </c>
      <c r="AA35">
        <v>385.08999999999997</v>
      </c>
      <c r="AB35">
        <v>35.310000000000002</v>
      </c>
      <c r="AC35">
        <v>1586.8099999999999</v>
      </c>
      <c r="AD35">
        <v>1852.5899999999999</v>
      </c>
      <c r="AE35">
        <v>9.3699999999999992</v>
      </c>
      <c r="AF35">
        <v>0</v>
      </c>
      <c r="AG35">
        <v>300.72000000000003</v>
      </c>
      <c r="AH35">
        <v>1798.47</v>
      </c>
      <c r="AI35">
        <v>8803.3799999999992</v>
      </c>
      <c r="AJ35">
        <v>2582.98</v>
      </c>
      <c r="AK35">
        <v>120.02</v>
      </c>
      <c r="AL35">
        <v>298.47000000000003</v>
      </c>
      <c r="AM35">
        <v>1379.8</v>
      </c>
      <c r="AN35">
        <v>266.89999999999998</v>
      </c>
      <c r="AO35">
        <v>834.84000000000003</v>
      </c>
      <c r="AP35">
        <v>296.23000000000002</v>
      </c>
      <c r="AQ35" s="1">
        <v>2274.8600000000001</v>
      </c>
      <c r="AR35" s="1">
        <v>411.73000000000002</v>
      </c>
      <c r="AS35" s="1">
        <v>182.11000000000001</v>
      </c>
      <c r="AT35" s="1">
        <v>288.12</v>
      </c>
      <c r="AU35">
        <v>0</v>
      </c>
      <c r="AV35" s="1">
        <v>61.969999999999999</v>
      </c>
      <c r="AW35" s="1">
        <v>5806.7799999999997</v>
      </c>
      <c r="AX35" s="1">
        <v>372.47000000000003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3">
        <v>10776</v>
      </c>
      <c r="BE35">
        <v>14</v>
      </c>
      <c r="BF35" s="1">
        <v>1128276.21</v>
      </c>
      <c r="BG35">
        <v>59</v>
      </c>
      <c r="BH35" s="1">
        <v>0</v>
      </c>
      <c r="BI35" s="1">
        <v>538480.30000000005</v>
      </c>
      <c r="BJ35" s="3">
        <v>25483</v>
      </c>
      <c r="BK35" s="1">
        <v>121378.25999999999</v>
      </c>
      <c r="BL35" s="1">
        <v>86449.149999999994</v>
      </c>
      <c r="BM35" s="1">
        <v>49768.519999999997</v>
      </c>
      <c r="BN35" s="1">
        <v>94614.550000000003</v>
      </c>
      <c r="BO35" s="1">
        <v>50388.080000000002</v>
      </c>
      <c r="BP35">
        <v>1464</v>
      </c>
      <c r="BQ35">
        <v>835</v>
      </c>
      <c r="BR35">
        <v>3041</v>
      </c>
      <c r="BS35">
        <v>1016</v>
      </c>
      <c r="BT35">
        <v>310</v>
      </c>
      <c r="BU35" s="1">
        <v>78567.089999999982</v>
      </c>
      <c r="BV35" s="4">
        <v>0.17648709078390123</v>
      </c>
      <c r="BW35" s="1">
        <v>372.47000000000003</v>
      </c>
      <c r="BX35" s="1">
        <v>53765.300000000003</v>
      </c>
      <c r="BY35" s="5">
        <v>0.12077425016153312</v>
      </c>
      <c r="BZ35" s="1">
        <v>17269.209999999995</v>
      </c>
      <c r="CA35" s="5">
        <v>0.038792230093239483</v>
      </c>
      <c r="CB35" s="1">
        <v>5433.3899999999994</v>
      </c>
      <c r="CC35" s="1">
        <v>0</v>
      </c>
      <c r="CD35" s="1">
        <v>2099.1900000000001</v>
      </c>
      <c r="CE35" s="1">
        <v>57550.610000000037</v>
      </c>
      <c r="CF35" s="1">
        <v>41.311421677802528</v>
      </c>
      <c r="CG35" s="17">
        <v>2.3647921306607276</v>
      </c>
      <c r="CH35" s="5">
        <v>0.66126966510103913</v>
      </c>
      <c r="CI35" s="5">
        <v>0.12927728049669274</v>
      </c>
      <c r="CJ35" s="18">
        <f t="shared" si="3"/>
        <v>57178.140000000036</v>
      </c>
      <c r="CK35" s="19">
        <f t="shared" si="4"/>
        <v>0.12844059242915351</v>
      </c>
    </row>
    <row r="36">
      <c r="A36" t="s">
        <v>97</v>
      </c>
      <c r="B36" s="16">
        <v>22082397000302</v>
      </c>
      <c r="C36" t="s">
        <v>104</v>
      </c>
      <c r="D36" t="s">
        <v>91</v>
      </c>
      <c r="E36" t="s">
        <v>92</v>
      </c>
      <c r="F36" t="s">
        <v>93</v>
      </c>
      <c r="G36" s="1">
        <v>439375.58000000002</v>
      </c>
      <c r="H36" s="1">
        <v>250122.20999999999</v>
      </c>
      <c r="I36" s="5">
        <f t="shared" si="0"/>
        <v>0.36275998796167275</v>
      </c>
      <c r="J36" s="1">
        <v>7487.7600000000002</v>
      </c>
      <c r="K36" s="1">
        <v>5827.1300000000001</v>
      </c>
      <c r="L36" s="1">
        <v>290607.37</v>
      </c>
      <c r="M36" s="1">
        <f t="shared" si="1"/>
        <v>148768.21000000002</v>
      </c>
      <c r="N36" s="5">
        <f t="shared" si="2"/>
        <v>0.33859007366772642</v>
      </c>
      <c r="O36" s="1">
        <v>7697.4899999999998</v>
      </c>
      <c r="P36" s="1">
        <v>0</v>
      </c>
      <c r="Q36">
        <v>0</v>
      </c>
      <c r="R36">
        <v>47950.830000000002</v>
      </c>
      <c r="S36">
        <v>12855.540000000001</v>
      </c>
      <c r="T36">
        <v>5327.3400000000001</v>
      </c>
      <c r="U36">
        <v>2817.6900000000001</v>
      </c>
      <c r="V36">
        <v>3157.4899999999998</v>
      </c>
      <c r="W36">
        <v>2004.1900000000001</v>
      </c>
      <c r="X36">
        <v>0</v>
      </c>
      <c r="Y36">
        <v>0</v>
      </c>
      <c r="Z36">
        <v>1564.22</v>
      </c>
      <c r="AA36">
        <v>385.08999999999997</v>
      </c>
      <c r="AB36">
        <v>396</v>
      </c>
      <c r="AC36">
        <v>1586.8099999999999</v>
      </c>
      <c r="AD36">
        <v>2026.6500000000001</v>
      </c>
      <c r="AE36">
        <v>9.3699999999999992</v>
      </c>
      <c r="AF36">
        <v>0</v>
      </c>
      <c r="AG36">
        <v>683.41999999999996</v>
      </c>
      <c r="AH36">
        <v>1921.73</v>
      </c>
      <c r="AI36">
        <v>8818.9799999999996</v>
      </c>
      <c r="AJ36">
        <v>2053.27</v>
      </c>
      <c r="AK36">
        <v>120.02</v>
      </c>
      <c r="AL36">
        <v>298.47000000000003</v>
      </c>
      <c r="AM36">
        <v>643.90999999999997</v>
      </c>
      <c r="AN36">
        <v>571.14999999999998</v>
      </c>
      <c r="AO36">
        <v>1013.27</v>
      </c>
      <c r="AP36">
        <v>46.229999999999997</v>
      </c>
      <c r="AQ36" s="1">
        <v>2104.9899999999998</v>
      </c>
      <c r="AR36" s="1">
        <v>925.35000000000002</v>
      </c>
      <c r="AS36" s="1">
        <v>0</v>
      </c>
      <c r="AT36" s="1">
        <v>289.62</v>
      </c>
      <c r="AU36">
        <v>0</v>
      </c>
      <c r="AV36" s="1">
        <v>65.819999999999993</v>
      </c>
      <c r="AW36" s="1">
        <v>2309.1999999999998</v>
      </c>
      <c r="AX36" s="1">
        <v>570.33000000000004</v>
      </c>
      <c r="AY36" s="1">
        <v>0</v>
      </c>
      <c r="AZ36" s="1">
        <v>0</v>
      </c>
      <c r="BA36" s="1">
        <v>787.12</v>
      </c>
      <c r="BB36" s="1">
        <v>0</v>
      </c>
      <c r="BC36" s="1">
        <v>0</v>
      </c>
      <c r="BD36" s="3">
        <v>10171</v>
      </c>
      <c r="BE36">
        <v>12</v>
      </c>
      <c r="BF36" s="1">
        <v>1224850.1299999999</v>
      </c>
      <c r="BG36">
        <v>59</v>
      </c>
      <c r="BH36" s="1">
        <v>0</v>
      </c>
      <c r="BI36" s="1">
        <v>561770.37</v>
      </c>
      <c r="BJ36" s="3">
        <v>24600</v>
      </c>
      <c r="BK36" s="1">
        <v>127244.56</v>
      </c>
      <c r="BL36" s="1">
        <v>87308.449999999997</v>
      </c>
      <c r="BM36" s="1">
        <v>40710.489999999998</v>
      </c>
      <c r="BN36" s="1">
        <v>91652.979999999996</v>
      </c>
      <c r="BO36" s="1">
        <v>49741.529999999999</v>
      </c>
      <c r="BP36">
        <v>1412</v>
      </c>
      <c r="BQ36">
        <v>824</v>
      </c>
      <c r="BR36">
        <v>2936</v>
      </c>
      <c r="BS36">
        <v>1086</v>
      </c>
      <c r="BT36">
        <v>319</v>
      </c>
      <c r="BU36" s="1">
        <v>99282.010000000009</v>
      </c>
      <c r="BV36" s="4">
        <v>0.22596160214457073</v>
      </c>
      <c r="BW36" s="1">
        <v>1357.45</v>
      </c>
      <c r="BX36" s="1">
        <v>74113.080000000016</v>
      </c>
      <c r="BY36" s="5">
        <v>0.16867819554286567</v>
      </c>
      <c r="BZ36" s="1">
        <v>16595.639999999999</v>
      </c>
      <c r="CA36" s="5">
        <v>0.037770965787402203</v>
      </c>
      <c r="CB36" s="1">
        <v>5968.1400000000003</v>
      </c>
      <c r="CC36" s="1">
        <v>0</v>
      </c>
      <c r="CD36" s="1">
        <v>2605.1500000000001</v>
      </c>
      <c r="CE36" s="1">
        <v>30559.220000000001</v>
      </c>
      <c r="CF36" s="1">
        <v>43.198857536132145</v>
      </c>
      <c r="CG36" s="17">
        <v>2.4186412348834923</v>
      </c>
      <c r="CH36" s="5">
        <v>0.66140992633227358</v>
      </c>
      <c r="CI36" s="5">
        <v>0.069551475755662159</v>
      </c>
      <c r="CJ36" s="18">
        <f t="shared" si="3"/>
        <v>29201.77</v>
      </c>
      <c r="CK36" s="19">
        <f t="shared" si="4"/>
        <v>0.066461977700262728</v>
      </c>
    </row>
    <row r="37">
      <c r="A37" t="s">
        <v>98</v>
      </c>
      <c r="B37" s="16">
        <v>22082397000302</v>
      </c>
      <c r="C37" t="s">
        <v>104</v>
      </c>
      <c r="D37" t="s">
        <v>91</v>
      </c>
      <c r="E37" t="s">
        <v>92</v>
      </c>
      <c r="F37" t="s">
        <v>93</v>
      </c>
      <c r="G37" s="1">
        <v>445477.16999999998</v>
      </c>
      <c r="H37" s="1">
        <v>237400.59</v>
      </c>
      <c r="I37" s="5">
        <f t="shared" si="0"/>
        <v>0.34764727145309288</v>
      </c>
      <c r="J37" s="1">
        <v>12693.9</v>
      </c>
      <c r="K37" s="1">
        <v>4615.5900000000001</v>
      </c>
      <c r="L37" s="1">
        <v>293722.12</v>
      </c>
      <c r="M37" s="1">
        <f t="shared" si="1"/>
        <v>151755.04999999999</v>
      </c>
      <c r="N37" s="5">
        <f t="shared" si="2"/>
        <v>0.34065730012606482</v>
      </c>
      <c r="O37" s="1">
        <v>3569.02</v>
      </c>
      <c r="P37" s="1">
        <v>0</v>
      </c>
      <c r="Q37">
        <v>0</v>
      </c>
      <c r="R37">
        <v>22019.009999999998</v>
      </c>
      <c r="S37">
        <v>15025.5</v>
      </c>
      <c r="T37">
        <v>2446.3099999999999</v>
      </c>
      <c r="U37">
        <v>2516.6900000000001</v>
      </c>
      <c r="V37">
        <v>3121.4400000000001</v>
      </c>
      <c r="W37">
        <v>2104.3699999999999</v>
      </c>
      <c r="X37">
        <v>0</v>
      </c>
      <c r="Y37">
        <v>0</v>
      </c>
      <c r="Z37">
        <v>1564.22</v>
      </c>
      <c r="AA37">
        <v>385.08999999999997</v>
      </c>
      <c r="AB37">
        <v>46.689999999999998</v>
      </c>
      <c r="AC37">
        <v>1586.8099999999999</v>
      </c>
      <c r="AD37">
        <v>2108.0799999999999</v>
      </c>
      <c r="AE37">
        <v>9.3699999999999992</v>
      </c>
      <c r="AF37">
        <v>391.89999999999998</v>
      </c>
      <c r="AG37">
        <v>515.89999999999998</v>
      </c>
      <c r="AH37">
        <v>1433.8199999999999</v>
      </c>
      <c r="AI37">
        <v>8818.9799999999996</v>
      </c>
      <c r="AJ37">
        <v>3748.3699999999999</v>
      </c>
      <c r="AK37">
        <v>120.02</v>
      </c>
      <c r="AL37">
        <v>303.49000000000001</v>
      </c>
      <c r="AM37">
        <v>2236.0100000000002</v>
      </c>
      <c r="AN37">
        <v>439.88999999999999</v>
      </c>
      <c r="AO37">
        <v>1412.6099999999999</v>
      </c>
      <c r="AP37">
        <v>46.229999999999997</v>
      </c>
      <c r="AQ37" s="1">
        <v>2153.0300000000002</v>
      </c>
      <c r="AR37" s="1">
        <v>1167.76</v>
      </c>
      <c r="AS37" s="1">
        <v>60.93</v>
      </c>
      <c r="AT37" s="1">
        <v>236.80000000000001</v>
      </c>
      <c r="AU37">
        <v>0</v>
      </c>
      <c r="AV37" s="1">
        <v>71.260000000000005</v>
      </c>
      <c r="AW37" s="1">
        <v>0</v>
      </c>
      <c r="AX37" s="1">
        <v>1121.5</v>
      </c>
      <c r="AY37" s="1">
        <v>1357.1199999999999</v>
      </c>
      <c r="AZ37" s="1">
        <v>0</v>
      </c>
      <c r="BA37" s="1">
        <v>0</v>
      </c>
      <c r="BB37" s="1">
        <v>0</v>
      </c>
      <c r="BC37" s="1">
        <v>0</v>
      </c>
      <c r="BD37" s="3">
        <v>10114</v>
      </c>
      <c r="BE37">
        <v>13</v>
      </c>
      <c r="BF37" s="1">
        <v>1124190.79</v>
      </c>
      <c r="BG37">
        <v>59</v>
      </c>
      <c r="BH37" s="1">
        <v>0</v>
      </c>
      <c r="BI37" s="1">
        <v>521938.59999999998</v>
      </c>
      <c r="BJ37" s="3">
        <v>24521</v>
      </c>
      <c r="BK37" s="1">
        <v>126155.21000000001</v>
      </c>
      <c r="BL37" s="1">
        <v>88545.220000000001</v>
      </c>
      <c r="BM37" s="1">
        <v>40246.330000000002</v>
      </c>
      <c r="BN37" s="1">
        <v>93454.419999999998</v>
      </c>
      <c r="BO37" s="1">
        <v>49495.75</v>
      </c>
      <c r="BP37">
        <v>1378</v>
      </c>
      <c r="BQ37">
        <v>846</v>
      </c>
      <c r="BR37">
        <v>2922</v>
      </c>
      <c r="BS37">
        <v>1093</v>
      </c>
      <c r="BT37">
        <v>300</v>
      </c>
      <c r="BU37" s="1">
        <v>75721.589999999997</v>
      </c>
      <c r="BV37" s="4">
        <v>0.16997860967824682</v>
      </c>
      <c r="BW37" s="1">
        <v>2478.6199999999999</v>
      </c>
      <c r="BX37" s="1">
        <v>47233.32</v>
      </c>
      <c r="BY37" s="5">
        <v>0.10602859850258993</v>
      </c>
      <c r="BZ37" s="1">
        <v>20446.389999999996</v>
      </c>
      <c r="CA37" s="5">
        <v>0.045897728047432813</v>
      </c>
      <c r="CB37" s="1">
        <v>5700.2599999999993</v>
      </c>
      <c r="CC37" s="1">
        <v>0</v>
      </c>
      <c r="CD37" s="1">
        <v>2341.6199999999999</v>
      </c>
      <c r="CE37" s="1">
        <v>54928.479999999952</v>
      </c>
      <c r="CF37" s="1">
        <v>44.045597192011073</v>
      </c>
      <c r="CG37" s="17">
        <v>2.4244611429701406</v>
      </c>
      <c r="CH37" s="5">
        <v>0.65934269987393523</v>
      </c>
      <c r="CI37" s="5">
        <v>0.12330257014068746</v>
      </c>
      <c r="CJ37" s="18">
        <f t="shared" si="3"/>
        <v>52449.85999999995</v>
      </c>
      <c r="CK37" s="19">
        <f t="shared" si="4"/>
        <v>0.11773860375381291</v>
      </c>
    </row>
    <row r="38">
      <c r="A38" t="s">
        <v>89</v>
      </c>
      <c r="B38" s="16">
        <v>22082397000655</v>
      </c>
      <c r="C38" t="s">
        <v>105</v>
      </c>
      <c r="D38" t="s">
        <v>91</v>
      </c>
      <c r="E38" t="s">
        <v>92</v>
      </c>
      <c r="F38" t="s">
        <v>93</v>
      </c>
      <c r="G38" s="1">
        <v>337795.23999999999</v>
      </c>
      <c r="H38" s="1">
        <v>165985.64999999999</v>
      </c>
      <c r="I38" s="5">
        <f t="shared" si="0"/>
        <v>0.32947984589093882</v>
      </c>
      <c r="J38" s="1">
        <v>8017.1499999999996</v>
      </c>
      <c r="K38" s="1">
        <v>4007.0500000000002</v>
      </c>
      <c r="L38" s="1">
        <v>234055.04999999999</v>
      </c>
      <c r="M38" s="1">
        <f t="shared" si="1"/>
        <v>103740.19</v>
      </c>
      <c r="N38" s="5">
        <f t="shared" si="2"/>
        <v>0.30710968573743075</v>
      </c>
      <c r="O38" s="1">
        <v>2776.4699999999998</v>
      </c>
      <c r="P38" s="1">
        <v>0</v>
      </c>
      <c r="Q38">
        <v>0</v>
      </c>
      <c r="R38">
        <v>26563.740000000002</v>
      </c>
      <c r="S38">
        <v>5579.0299999999997</v>
      </c>
      <c r="T38">
        <v>2951.23</v>
      </c>
      <c r="U38">
        <v>1878.77</v>
      </c>
      <c r="V38">
        <v>3171.1300000000001</v>
      </c>
      <c r="W38">
        <v>2420.2600000000002</v>
      </c>
      <c r="X38">
        <v>1412</v>
      </c>
      <c r="Y38">
        <v>0</v>
      </c>
      <c r="Z38">
        <v>1691.71</v>
      </c>
      <c r="AA38">
        <v>217</v>
      </c>
      <c r="AB38">
        <v>0</v>
      </c>
      <c r="AC38">
        <v>1586.8099999999999</v>
      </c>
      <c r="AD38">
        <v>1742.1099999999999</v>
      </c>
      <c r="AE38">
        <v>9.3699999999999992</v>
      </c>
      <c r="AF38">
        <v>61.710000000000001</v>
      </c>
      <c r="AG38">
        <v>311.81</v>
      </c>
      <c r="AH38">
        <v>1320.3199999999999</v>
      </c>
      <c r="AI38">
        <v>7800</v>
      </c>
      <c r="AJ38">
        <v>2826.3899999999999</v>
      </c>
      <c r="AK38">
        <v>122.59</v>
      </c>
      <c r="AL38">
        <v>312.20999999999998</v>
      </c>
      <c r="AM38">
        <v>225.75</v>
      </c>
      <c r="AN38">
        <v>203.09999999999999</v>
      </c>
      <c r="AO38">
        <v>792.51999999999998</v>
      </c>
      <c r="AP38">
        <v>54.090000000000003</v>
      </c>
      <c r="AQ38" s="1">
        <v>813.34000000000003</v>
      </c>
      <c r="AR38" s="1">
        <v>755.47000000000003</v>
      </c>
      <c r="AS38" s="1">
        <v>0</v>
      </c>
      <c r="AT38" s="1">
        <v>170.18000000000001</v>
      </c>
      <c r="AU38">
        <v>0</v>
      </c>
      <c r="AV38" s="1">
        <v>94.700000000000003</v>
      </c>
      <c r="AW38" s="1">
        <v>2914.8000000000002</v>
      </c>
      <c r="AX38" s="1">
        <v>504.13999999999999</v>
      </c>
      <c r="AY38" s="1">
        <v>7076.1899999999996</v>
      </c>
      <c r="AZ38" s="1">
        <v>51.270000000000003</v>
      </c>
      <c r="BA38" s="1">
        <v>0</v>
      </c>
      <c r="BB38" s="1">
        <v>1935.98</v>
      </c>
      <c r="BC38" s="1">
        <v>5061.6899999999996</v>
      </c>
      <c r="BD38" s="3">
        <v>7364</v>
      </c>
      <c r="BE38">
        <v>12</v>
      </c>
      <c r="BF38" s="1">
        <v>1104091.5900000001</v>
      </c>
      <c r="BG38">
        <v>94</v>
      </c>
      <c r="BH38" s="1">
        <v>0</v>
      </c>
      <c r="BI38" s="1">
        <v>403264.70000000001</v>
      </c>
      <c r="BJ38" s="3">
        <v>18677</v>
      </c>
      <c r="BK38" s="1">
        <v>101229.58</v>
      </c>
      <c r="BL38" s="1">
        <v>54805.660000000003</v>
      </c>
      <c r="BM38" s="1">
        <v>27445.150000000001</v>
      </c>
      <c r="BN38" s="1">
        <v>81804.539999999994</v>
      </c>
      <c r="BO38" s="1">
        <v>34804.389999999999</v>
      </c>
      <c r="BP38">
        <v>1392</v>
      </c>
      <c r="BQ38">
        <v>778</v>
      </c>
      <c r="BR38">
        <v>2939</v>
      </c>
      <c r="BS38">
        <v>1024</v>
      </c>
      <c r="BT38">
        <v>312</v>
      </c>
      <c r="BU38" s="1">
        <v>64822.459999999977</v>
      </c>
      <c r="BV38" s="4">
        <v>0.19189867802755295</v>
      </c>
      <c r="BW38" s="1">
        <v>14629.27</v>
      </c>
      <c r="BX38" s="1">
        <v>42564.159999999996</v>
      </c>
      <c r="BY38" s="5">
        <v>0.12600580162112407</v>
      </c>
      <c r="BZ38" s="1">
        <v>13905.459999999999</v>
      </c>
      <c r="CA38" s="5">
        <v>0.041165352122783022</v>
      </c>
      <c r="CB38" s="1">
        <v>5247</v>
      </c>
      <c r="CC38" s="1">
        <v>1412</v>
      </c>
      <c r="CD38" s="1">
        <v>1693.8399999999999</v>
      </c>
      <c r="CE38" s="1">
        <v>26956.379999999994</v>
      </c>
      <c r="CF38" s="1">
        <v>45.871162411732755</v>
      </c>
      <c r="CG38" s="17">
        <v>2.5362574687669746</v>
      </c>
      <c r="CH38" s="5">
        <v>0.6928903142625692</v>
      </c>
      <c r="CI38" s="5">
        <v>0.079800946869470382</v>
      </c>
      <c r="CJ38" s="18">
        <f t="shared" si="3"/>
        <v>12327.109999999993</v>
      </c>
      <c r="CK38" s="19">
        <f t="shared" si="4"/>
        <v>0.0364928469684771</v>
      </c>
    </row>
    <row r="39">
      <c r="A39" t="s">
        <v>94</v>
      </c>
      <c r="B39" s="16">
        <v>22082397000655</v>
      </c>
      <c r="C39" t="s">
        <v>105</v>
      </c>
      <c r="D39" t="s">
        <v>91</v>
      </c>
      <c r="E39" t="s">
        <v>92</v>
      </c>
      <c r="F39" t="s">
        <v>93</v>
      </c>
      <c r="G39" s="1">
        <v>333766.40000000002</v>
      </c>
      <c r="H39" s="1">
        <v>160955.88</v>
      </c>
      <c r="I39" s="5">
        <f t="shared" si="0"/>
        <v>0.32534592943742091</v>
      </c>
      <c r="J39" s="1">
        <v>8466.3099999999995</v>
      </c>
      <c r="K39" s="1">
        <v>4309.4200000000001</v>
      </c>
      <c r="L39" s="1">
        <v>230983.92000000001</v>
      </c>
      <c r="M39" s="1">
        <f t="shared" si="1"/>
        <v>102782.48000000001</v>
      </c>
      <c r="N39" s="5">
        <f t="shared" si="2"/>
        <v>0.3079473547966482</v>
      </c>
      <c r="O39" s="1">
        <v>2685.4099999999999</v>
      </c>
      <c r="P39" s="1">
        <v>0</v>
      </c>
      <c r="Q39">
        <v>0</v>
      </c>
      <c r="R39">
        <v>22493.07</v>
      </c>
      <c r="S39">
        <v>7799.79</v>
      </c>
      <c r="T39">
        <v>2436.6399999999999</v>
      </c>
      <c r="U39">
        <v>3041.3800000000001</v>
      </c>
      <c r="V39">
        <v>3769.8099999999999</v>
      </c>
      <c r="W39">
        <v>2415.6100000000001</v>
      </c>
      <c r="X39">
        <v>0</v>
      </c>
      <c r="Y39">
        <v>0</v>
      </c>
      <c r="Z39">
        <v>1714.22</v>
      </c>
      <c r="AA39">
        <v>385.08999999999997</v>
      </c>
      <c r="AB39">
        <v>59.310000000000002</v>
      </c>
      <c r="AC39">
        <v>1640.1400000000001</v>
      </c>
      <c r="AD39">
        <v>1888.99</v>
      </c>
      <c r="AE39">
        <v>9.3699999999999992</v>
      </c>
      <c r="AF39">
        <v>17.469999999999999</v>
      </c>
      <c r="AG39">
        <v>596.41999999999996</v>
      </c>
      <c r="AH39">
        <v>156.72</v>
      </c>
      <c r="AI39">
        <v>7800</v>
      </c>
      <c r="AJ39">
        <v>2547.7199999999998</v>
      </c>
      <c r="AK39">
        <v>122.52</v>
      </c>
      <c r="AL39">
        <v>345.64999999999998</v>
      </c>
      <c r="AM39">
        <v>509.12</v>
      </c>
      <c r="AN39">
        <v>524.76999999999998</v>
      </c>
      <c r="AO39">
        <v>775.11000000000001</v>
      </c>
      <c r="AP39">
        <v>1858.5899999999999</v>
      </c>
      <c r="AQ39" s="1">
        <v>1621.49</v>
      </c>
      <c r="AR39" s="1">
        <v>874.94000000000005</v>
      </c>
      <c r="AS39" s="1">
        <v>175.03999999999999</v>
      </c>
      <c r="AT39" s="1">
        <v>187</v>
      </c>
      <c r="AU39">
        <v>0</v>
      </c>
      <c r="AV39" s="1">
        <v>111.06999999999999</v>
      </c>
      <c r="AW39" s="1">
        <v>2914.8000000000002</v>
      </c>
      <c r="AX39" s="1">
        <v>306.56</v>
      </c>
      <c r="AY39" s="1">
        <v>5105.9200000000001</v>
      </c>
      <c r="AZ39" s="1">
        <v>6.4800000000000004</v>
      </c>
      <c r="BA39" s="1">
        <v>0</v>
      </c>
      <c r="BB39" s="1">
        <v>240.05000000000001</v>
      </c>
      <c r="BC39" s="1">
        <v>5000</v>
      </c>
      <c r="BD39" s="3">
        <v>7227</v>
      </c>
      <c r="BE39">
        <v>11</v>
      </c>
      <c r="BF39" s="1">
        <v>1125748.95</v>
      </c>
      <c r="BG39">
        <v>94</v>
      </c>
      <c r="BH39" s="1">
        <v>0</v>
      </c>
      <c r="BI39" s="1">
        <v>433262.03999999998</v>
      </c>
      <c r="BJ39" s="3">
        <v>18806</v>
      </c>
      <c r="BK39" s="1">
        <v>99367.110000000001</v>
      </c>
      <c r="BL39" s="1">
        <v>51173.410000000003</v>
      </c>
      <c r="BM39" s="1">
        <v>32295.25</v>
      </c>
      <c r="BN39" s="1">
        <v>79353.330000000002</v>
      </c>
      <c r="BO39" s="1">
        <v>36846.389999999999</v>
      </c>
      <c r="BP39">
        <v>1379</v>
      </c>
      <c r="BQ39">
        <v>812</v>
      </c>
      <c r="BR39">
        <v>2773</v>
      </c>
      <c r="BS39">
        <v>1015</v>
      </c>
      <c r="BT39">
        <v>321</v>
      </c>
      <c r="BU39" s="1">
        <v>65403.939999999988</v>
      </c>
      <c r="BV39" s="4">
        <v>0.19595723236371301</v>
      </c>
      <c r="BW39" s="1">
        <v>10659.01</v>
      </c>
      <c r="BX39" s="1">
        <v>41956.299999999996</v>
      </c>
      <c r="BY39" s="5">
        <v>0.1257055833061686</v>
      </c>
      <c r="BZ39" s="1">
        <v>16979.91</v>
      </c>
      <c r="CA39" s="5">
        <v>0.050873634973442501</v>
      </c>
      <c r="CB39" s="1">
        <v>5697.1199999999999</v>
      </c>
      <c r="CC39" s="1">
        <v>0</v>
      </c>
      <c r="CD39" s="1">
        <v>770.61000000000001</v>
      </c>
      <c r="CE39" s="1">
        <v>24581.230000000032</v>
      </c>
      <c r="CF39" s="1">
        <v>46.183257229832577</v>
      </c>
      <c r="CG39" s="17">
        <v>2.6021862460218625</v>
      </c>
      <c r="CH39" s="5">
        <v>0.69205264520335175</v>
      </c>
      <c r="CI39" s="5">
        <v>0.073648006509942368</v>
      </c>
      <c r="CJ39" s="18">
        <f t="shared" si="3"/>
        <v>13922.220000000032</v>
      </c>
      <c r="CK39" s="19">
        <f t="shared" si="4"/>
        <v>0.041712467162662366</v>
      </c>
    </row>
    <row r="40">
      <c r="A40" t="s">
        <v>95</v>
      </c>
      <c r="B40" s="16">
        <v>22082397000655</v>
      </c>
      <c r="C40" t="s">
        <v>105</v>
      </c>
      <c r="D40" t="s">
        <v>91</v>
      </c>
      <c r="E40" t="s">
        <v>92</v>
      </c>
      <c r="F40" t="s">
        <v>93</v>
      </c>
      <c r="G40" s="1">
        <v>352978.57000000001</v>
      </c>
      <c r="H40" s="1">
        <v>179380.5</v>
      </c>
      <c r="I40" s="5">
        <f t="shared" si="0"/>
        <v>0.33695396605152228</v>
      </c>
      <c r="J40" s="1">
        <v>16514.700000000001</v>
      </c>
      <c r="K40" s="1">
        <v>4752.1599999999999</v>
      </c>
      <c r="L40" s="1">
        <v>245245.66</v>
      </c>
      <c r="M40" s="1">
        <f t="shared" si="1"/>
        <v>107732.91</v>
      </c>
      <c r="N40" s="5">
        <f t="shared" si="2"/>
        <v>0.30521090841293852</v>
      </c>
      <c r="O40" s="1">
        <v>3036.0599999999999</v>
      </c>
      <c r="P40" s="1">
        <v>310.32999999999998</v>
      </c>
      <c r="Q40">
        <v>0</v>
      </c>
      <c r="R40">
        <v>36713.669999999998</v>
      </c>
      <c r="S40">
        <v>9200.5799999999999</v>
      </c>
      <c r="T40">
        <v>4078.8899999999999</v>
      </c>
      <c r="U40">
        <v>2345.4000000000001</v>
      </c>
      <c r="V40">
        <v>3535.96</v>
      </c>
      <c r="W40">
        <v>2085.3299999999999</v>
      </c>
      <c r="X40">
        <v>0</v>
      </c>
      <c r="Y40">
        <v>0</v>
      </c>
      <c r="Z40">
        <v>1714.22</v>
      </c>
      <c r="AA40">
        <v>385.08999999999997</v>
      </c>
      <c r="AB40">
        <v>0</v>
      </c>
      <c r="AC40">
        <v>1729.99</v>
      </c>
      <c r="AD40">
        <v>1785.6900000000001</v>
      </c>
      <c r="AE40">
        <v>9.3699999999999992</v>
      </c>
      <c r="AF40">
        <v>0</v>
      </c>
      <c r="AG40">
        <v>462.57999999999998</v>
      </c>
      <c r="AH40">
        <v>463.63999999999999</v>
      </c>
      <c r="AI40">
        <v>7800</v>
      </c>
      <c r="AJ40">
        <v>0</v>
      </c>
      <c r="AK40">
        <v>120.03</v>
      </c>
      <c r="AL40">
        <v>340.08999999999997</v>
      </c>
      <c r="AM40">
        <v>3585.1999999999998</v>
      </c>
      <c r="AN40">
        <v>318.30000000000001</v>
      </c>
      <c r="AO40">
        <v>714.36000000000001</v>
      </c>
      <c r="AP40">
        <v>46.229999999999997</v>
      </c>
      <c r="AQ40" s="1">
        <v>2520.3699999999999</v>
      </c>
      <c r="AR40" s="1">
        <v>688.22000000000003</v>
      </c>
      <c r="AS40" s="1">
        <v>0</v>
      </c>
      <c r="AT40" s="1">
        <v>257.45999999999998</v>
      </c>
      <c r="AU40">
        <v>0</v>
      </c>
      <c r="AV40" s="1">
        <v>88.980000000000004</v>
      </c>
      <c r="AW40" s="1">
        <v>2240.2199999999998</v>
      </c>
      <c r="AX40" s="1">
        <v>549.88999999999999</v>
      </c>
      <c r="AY40" s="1">
        <v>169</v>
      </c>
      <c r="AZ40" s="1">
        <v>6.4800000000000004</v>
      </c>
      <c r="BA40" s="1">
        <v>0</v>
      </c>
      <c r="BB40" s="1">
        <v>5395.21</v>
      </c>
      <c r="BC40" s="1">
        <v>0</v>
      </c>
      <c r="BD40" s="3">
        <v>7302</v>
      </c>
      <c r="BE40">
        <v>12</v>
      </c>
      <c r="BF40" s="1">
        <v>1098751.8300000001</v>
      </c>
      <c r="BG40">
        <v>94</v>
      </c>
      <c r="BH40" s="1">
        <v>0</v>
      </c>
      <c r="BI40" s="1">
        <v>402916.69</v>
      </c>
      <c r="BJ40" s="3">
        <v>18693</v>
      </c>
      <c r="BK40" s="1">
        <v>113546.07000000001</v>
      </c>
      <c r="BL40" s="1">
        <v>60081.970000000001</v>
      </c>
      <c r="BM40" s="1">
        <v>30655.540000000001</v>
      </c>
      <c r="BN40" s="1">
        <v>76188.169999999998</v>
      </c>
      <c r="BO40" s="1">
        <v>36860.330000000002</v>
      </c>
      <c r="BP40">
        <v>1420</v>
      </c>
      <c r="BQ40">
        <v>820</v>
      </c>
      <c r="BR40">
        <v>2834</v>
      </c>
      <c r="BS40">
        <v>1005</v>
      </c>
      <c r="BT40">
        <v>324</v>
      </c>
      <c r="BU40" s="1">
        <v>80643.209999999992</v>
      </c>
      <c r="BV40" s="4">
        <v>0.22846488952572955</v>
      </c>
      <c r="BW40" s="1">
        <v>6120.5799999999999</v>
      </c>
      <c r="BX40" s="1">
        <v>57959.830000000002</v>
      </c>
      <c r="BY40" s="5">
        <v>0.16420212139224202</v>
      </c>
      <c r="BZ40" s="1">
        <v>16132.799999999997</v>
      </c>
      <c r="CA40" s="5">
        <v>0.045704757657100817</v>
      </c>
      <c r="CB40" s="1">
        <v>5624.3599999999997</v>
      </c>
      <c r="CC40" s="1">
        <v>0</v>
      </c>
      <c r="CD40" s="1">
        <v>926.22000000000003</v>
      </c>
      <c r="CE40" s="1">
        <v>4548.1900000000142</v>
      </c>
      <c r="CF40" s="1">
        <v>48.339984935634071</v>
      </c>
      <c r="CG40" s="17">
        <v>2.5599835661462613</v>
      </c>
      <c r="CH40" s="5">
        <v>0.69478909158706148</v>
      </c>
      <c r="CI40" s="5">
        <v>0.012885173170711224</v>
      </c>
      <c r="CJ40" s="18">
        <f t="shared" si="3"/>
        <v>-1572.3899999999858</v>
      </c>
      <c r="CK40" s="19">
        <f t="shared" si="4"/>
        <v>-0.0044546330390538603</v>
      </c>
    </row>
    <row r="41">
      <c r="A41" t="s">
        <v>96</v>
      </c>
      <c r="B41" s="16">
        <v>22082397000655</v>
      </c>
      <c r="C41" t="s">
        <v>105</v>
      </c>
      <c r="D41" t="s">
        <v>91</v>
      </c>
      <c r="E41" t="s">
        <v>92</v>
      </c>
      <c r="F41" t="s">
        <v>93</v>
      </c>
      <c r="G41" s="1">
        <v>345727.20000000001</v>
      </c>
      <c r="H41" s="1">
        <v>182643.06</v>
      </c>
      <c r="I41" s="5">
        <f t="shared" si="0"/>
        <v>0.34567248353455776</v>
      </c>
      <c r="J41" s="1">
        <v>9014.25</v>
      </c>
      <c r="K41" s="1">
        <v>3484.6999999999998</v>
      </c>
      <c r="L41" s="1">
        <v>234817.63</v>
      </c>
      <c r="M41" s="1">
        <f t="shared" si="1"/>
        <v>110909.57000000001</v>
      </c>
      <c r="N41" s="5">
        <f t="shared" si="2"/>
        <v>0.32080082215110645</v>
      </c>
      <c r="O41" s="1">
        <v>2912.73</v>
      </c>
      <c r="P41" s="1">
        <v>245.06</v>
      </c>
      <c r="Q41">
        <v>0</v>
      </c>
      <c r="R41">
        <v>27299.380000000001</v>
      </c>
      <c r="S41">
        <v>9463.5799999999999</v>
      </c>
      <c r="T41">
        <v>3032.96</v>
      </c>
      <c r="U41">
        <v>3156.5500000000002</v>
      </c>
      <c r="V41">
        <v>2347.1700000000001</v>
      </c>
      <c r="W41">
        <v>2037.1900000000001</v>
      </c>
      <c r="X41">
        <v>0</v>
      </c>
      <c r="Y41">
        <v>0</v>
      </c>
      <c r="Z41">
        <v>1714.22</v>
      </c>
      <c r="AA41">
        <v>385.10000000000002</v>
      </c>
      <c r="AB41">
        <v>35.310000000000002</v>
      </c>
      <c r="AC41">
        <v>1586.8099999999999</v>
      </c>
      <c r="AD41">
        <v>2633.73</v>
      </c>
      <c r="AE41">
        <v>9.3699999999999992</v>
      </c>
      <c r="AF41">
        <v>0</v>
      </c>
      <c r="AG41">
        <v>291.16000000000003</v>
      </c>
      <c r="AH41">
        <v>1251.8499999999999</v>
      </c>
      <c r="AI41">
        <v>7800</v>
      </c>
      <c r="AJ41">
        <v>1745</v>
      </c>
      <c r="AK41">
        <v>122.51000000000001</v>
      </c>
      <c r="AL41">
        <v>366.91000000000003</v>
      </c>
      <c r="AM41">
        <v>1705.24</v>
      </c>
      <c r="AN41">
        <v>266.89999999999998</v>
      </c>
      <c r="AO41">
        <v>941.96000000000004</v>
      </c>
      <c r="AP41">
        <v>1280.5599999999999</v>
      </c>
      <c r="AQ41" s="1">
        <v>2274.8600000000001</v>
      </c>
      <c r="AR41" s="1">
        <v>861.73000000000002</v>
      </c>
      <c r="AS41" s="1">
        <v>182.11000000000001</v>
      </c>
      <c r="AT41" s="1">
        <v>288.12</v>
      </c>
      <c r="AU41">
        <v>0</v>
      </c>
      <c r="AV41" s="1">
        <v>87.370000000000005</v>
      </c>
      <c r="AW41" s="1">
        <v>4019.4899999999998</v>
      </c>
      <c r="AX41" s="1">
        <v>281.12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3">
        <v>7315</v>
      </c>
      <c r="BE41">
        <v>11</v>
      </c>
      <c r="BF41" s="1">
        <v>1021333.79</v>
      </c>
      <c r="BG41">
        <v>94</v>
      </c>
      <c r="BH41" s="1">
        <v>0</v>
      </c>
      <c r="BI41" s="1">
        <v>417352.60999999999</v>
      </c>
      <c r="BJ41" s="3">
        <v>18607</v>
      </c>
      <c r="BK41" s="1">
        <v>99292.119999999995</v>
      </c>
      <c r="BL41" s="1">
        <v>58818.779999999999</v>
      </c>
      <c r="BM41" s="1">
        <v>34137.010000000002</v>
      </c>
      <c r="BN41" s="1">
        <v>78103.380000000005</v>
      </c>
      <c r="BO41" s="1">
        <v>41267.739999999998</v>
      </c>
      <c r="BP41">
        <v>1429</v>
      </c>
      <c r="BQ41">
        <v>784</v>
      </c>
      <c r="BR41">
        <v>2836</v>
      </c>
      <c r="BS41">
        <v>933</v>
      </c>
      <c r="BT41">
        <v>301</v>
      </c>
      <c r="BU41" s="1">
        <v>72610.050000000003</v>
      </c>
      <c r="BV41" s="4">
        <v>0.21002122482697341</v>
      </c>
      <c r="BW41" s="1">
        <v>281.12</v>
      </c>
      <c r="BX41" s="1">
        <v>47336.830000000002</v>
      </c>
      <c r="BY41" s="5">
        <v>0.13691960019344732</v>
      </c>
      <c r="BZ41" s="1">
        <v>17365.669999999998</v>
      </c>
      <c r="CA41" s="5">
        <v>0.05022940052156729</v>
      </c>
      <c r="CB41" s="1">
        <v>6364.54</v>
      </c>
      <c r="CC41" s="1">
        <v>0</v>
      </c>
      <c r="CD41" s="1">
        <v>1543.01</v>
      </c>
      <c r="CE41" s="1">
        <v>26279.409999999989</v>
      </c>
      <c r="CF41" s="1">
        <v>47.262775119617224</v>
      </c>
      <c r="CG41" s="17">
        <v>2.5436773752563226</v>
      </c>
      <c r="CH41" s="5">
        <v>0.67919917784889361</v>
      </c>
      <c r="CI41" s="5">
        <v>0.076011982858160965</v>
      </c>
      <c r="CJ41" s="18">
        <f t="shared" si="3"/>
        <v>25998.28999999999</v>
      </c>
      <c r="CK41" s="19">
        <f t="shared" si="4"/>
        <v>0.075198856208016002</v>
      </c>
    </row>
    <row r="42">
      <c r="A42" t="s">
        <v>97</v>
      </c>
      <c r="B42" s="16">
        <v>22082397000655</v>
      </c>
      <c r="C42" t="s">
        <v>105</v>
      </c>
      <c r="D42" t="s">
        <v>91</v>
      </c>
      <c r="E42" t="s">
        <v>92</v>
      </c>
      <c r="F42" t="s">
        <v>93</v>
      </c>
      <c r="G42" s="1">
        <v>315558.84999999998</v>
      </c>
      <c r="H42" s="1">
        <v>166878.79999999999</v>
      </c>
      <c r="I42" s="5">
        <f t="shared" si="0"/>
        <v>0.34590749706205559</v>
      </c>
      <c r="J42" s="1">
        <v>7480.6300000000001</v>
      </c>
      <c r="K42" s="1">
        <v>5955.8999999999996</v>
      </c>
      <c r="L42" s="1">
        <v>211506.38</v>
      </c>
      <c r="M42" s="1">
        <f t="shared" si="1"/>
        <v>104052.46999999997</v>
      </c>
      <c r="N42" s="5">
        <f t="shared" si="2"/>
        <v>0.32974030042256769</v>
      </c>
      <c r="O42" s="1">
        <v>5957.8000000000002</v>
      </c>
      <c r="P42" s="1">
        <v>990</v>
      </c>
      <c r="Q42">
        <v>0</v>
      </c>
      <c r="R42">
        <v>30025.689999999999</v>
      </c>
      <c r="S42">
        <v>10417.950000000001</v>
      </c>
      <c r="T42">
        <v>3335.8499999999999</v>
      </c>
      <c r="U42">
        <v>3013.4499999999998</v>
      </c>
      <c r="V42">
        <v>1774.01</v>
      </c>
      <c r="W42">
        <v>2015.5</v>
      </c>
      <c r="X42">
        <v>0</v>
      </c>
      <c r="Y42">
        <v>0</v>
      </c>
      <c r="Z42">
        <v>1714.22</v>
      </c>
      <c r="AA42">
        <v>385.08999999999997</v>
      </c>
      <c r="AB42">
        <v>132</v>
      </c>
      <c r="AC42">
        <v>1586.8099999999999</v>
      </c>
      <c r="AD42">
        <v>2132.8899999999999</v>
      </c>
      <c r="AE42">
        <v>9.3699999999999992</v>
      </c>
      <c r="AF42">
        <v>0</v>
      </c>
      <c r="AG42">
        <v>390.68000000000001</v>
      </c>
      <c r="AH42">
        <v>681.82000000000005</v>
      </c>
      <c r="AI42">
        <v>7800</v>
      </c>
      <c r="AJ42">
        <v>4268.7700000000004</v>
      </c>
      <c r="AK42">
        <v>120.03</v>
      </c>
      <c r="AL42">
        <v>366.91000000000003</v>
      </c>
      <c r="AM42">
        <v>724.72000000000003</v>
      </c>
      <c r="AN42">
        <v>571.14999999999998</v>
      </c>
      <c r="AO42">
        <v>1450.3900000000001</v>
      </c>
      <c r="AP42">
        <v>46.229999999999997</v>
      </c>
      <c r="AQ42" s="1">
        <v>1994.99</v>
      </c>
      <c r="AR42" s="1">
        <v>854.54999999999995</v>
      </c>
      <c r="AS42" s="1">
        <v>0</v>
      </c>
      <c r="AT42" s="1">
        <v>289.61000000000001</v>
      </c>
      <c r="AU42">
        <v>0</v>
      </c>
      <c r="AV42" s="1">
        <v>88.290000000000006</v>
      </c>
      <c r="AW42" s="1">
        <v>1742.4400000000001</v>
      </c>
      <c r="AX42" s="1">
        <v>905.11000000000001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3">
        <v>6891</v>
      </c>
      <c r="BE42">
        <v>14</v>
      </c>
      <c r="BF42" s="1">
        <v>1067204.3799999999</v>
      </c>
      <c r="BG42">
        <v>94</v>
      </c>
      <c r="BH42" s="1">
        <v>0</v>
      </c>
      <c r="BI42" s="1">
        <v>392018.03999999998</v>
      </c>
      <c r="BJ42" s="3">
        <v>16877</v>
      </c>
      <c r="BK42" s="1">
        <v>87772.960000000006</v>
      </c>
      <c r="BL42" s="1">
        <v>56151.519999999997</v>
      </c>
      <c r="BM42" s="1">
        <v>29129.25</v>
      </c>
      <c r="BN42" s="1">
        <v>74824.119999999995</v>
      </c>
      <c r="BO42" s="1">
        <v>37302.190000000002</v>
      </c>
      <c r="BP42">
        <v>1391</v>
      </c>
      <c r="BQ42">
        <v>777</v>
      </c>
      <c r="BR42">
        <v>2649</v>
      </c>
      <c r="BS42">
        <v>1002</v>
      </c>
      <c r="BT42">
        <v>311</v>
      </c>
      <c r="BU42" s="1">
        <v>75813.069999999992</v>
      </c>
      <c r="BV42" s="4">
        <v>0.24025017837401802</v>
      </c>
      <c r="BW42" s="1">
        <v>905.11000000000001</v>
      </c>
      <c r="BX42" s="1">
        <v>50582.449999999997</v>
      </c>
      <c r="BY42" s="5">
        <v>0.1602948229783446</v>
      </c>
      <c r="BZ42" s="1">
        <v>18197.739999999998</v>
      </c>
      <c r="CA42" s="5">
        <v>0.057668292301103263</v>
      </c>
      <c r="CB42" s="1">
        <v>5960.3800000000001</v>
      </c>
      <c r="CC42" s="1">
        <v>0</v>
      </c>
      <c r="CD42" s="1">
        <v>1072.5</v>
      </c>
      <c r="CE42" s="1">
        <v>9396.1899999999441</v>
      </c>
      <c r="CF42" s="1">
        <v>45.792896531708024</v>
      </c>
      <c r="CG42" s="17">
        <v>2.4491365549267159</v>
      </c>
      <c r="CH42" s="5">
        <v>0.67025969957743226</v>
      </c>
      <c r="CI42" s="5">
        <v>0.029776347581441449</v>
      </c>
      <c r="CJ42" s="18">
        <f t="shared" si="3"/>
        <v>8491.0799999999435</v>
      </c>
      <c r="CK42" s="19">
        <f t="shared" si="4"/>
        <v>0.0269080711886228</v>
      </c>
    </row>
    <row r="43">
      <c r="A43" t="s">
        <v>98</v>
      </c>
      <c r="B43" s="16">
        <v>22082397000655</v>
      </c>
      <c r="C43" t="s">
        <v>105</v>
      </c>
      <c r="D43" t="s">
        <v>91</v>
      </c>
      <c r="E43" t="s">
        <v>92</v>
      </c>
      <c r="F43" t="s">
        <v>93</v>
      </c>
      <c r="G43" s="1">
        <v>320019.35999999999</v>
      </c>
      <c r="H43" s="1">
        <v>175461.73999999999</v>
      </c>
      <c r="I43" s="5">
        <f t="shared" si="0"/>
        <v>0.35412398172200715</v>
      </c>
      <c r="J43" s="1">
        <v>12686.76</v>
      </c>
      <c r="K43" s="1">
        <v>4041.4200000000001</v>
      </c>
      <c r="L43" s="1">
        <v>216424.19</v>
      </c>
      <c r="M43" s="1">
        <f t="shared" si="1"/>
        <v>103595.16999999998</v>
      </c>
      <c r="N43" s="5">
        <f t="shared" si="2"/>
        <v>0.32371532147305082</v>
      </c>
      <c r="O43" s="1">
        <v>2805</v>
      </c>
      <c r="P43" s="1">
        <v>399</v>
      </c>
      <c r="Q43">
        <v>0</v>
      </c>
      <c r="R43">
        <v>24414.75</v>
      </c>
      <c r="S43">
        <v>11177.57</v>
      </c>
      <c r="T43">
        <v>2712.48</v>
      </c>
      <c r="U43">
        <v>2650.5799999999999</v>
      </c>
      <c r="V43">
        <v>1806.4300000000001</v>
      </c>
      <c r="W43">
        <v>2213.2600000000002</v>
      </c>
      <c r="X43">
        <v>0</v>
      </c>
      <c r="Y43">
        <v>0</v>
      </c>
      <c r="Z43">
        <v>1714.22</v>
      </c>
      <c r="AA43">
        <v>385.08999999999997</v>
      </c>
      <c r="AB43">
        <v>46.689999999999998</v>
      </c>
      <c r="AC43">
        <v>1586.8099999999999</v>
      </c>
      <c r="AD43">
        <v>2693.9099999999999</v>
      </c>
      <c r="AE43">
        <v>9.3699999999999992</v>
      </c>
      <c r="AF43">
        <v>308.44</v>
      </c>
      <c r="AG43">
        <v>210.13999999999999</v>
      </c>
      <c r="AH43">
        <v>613.82000000000005</v>
      </c>
      <c r="AI43">
        <v>7800</v>
      </c>
      <c r="AJ43">
        <v>3680.6799999999998</v>
      </c>
      <c r="AK43">
        <v>120.03</v>
      </c>
      <c r="AL43">
        <v>371.93000000000001</v>
      </c>
      <c r="AM43">
        <v>2000.9400000000001</v>
      </c>
      <c r="AN43">
        <v>439.88</v>
      </c>
      <c r="AO43">
        <v>769.74000000000001</v>
      </c>
      <c r="AP43">
        <v>46.229999999999997</v>
      </c>
      <c r="AQ43" s="1">
        <v>2133.04</v>
      </c>
      <c r="AR43" s="1">
        <v>1047.75</v>
      </c>
      <c r="AS43" s="1">
        <v>53.350000000000001</v>
      </c>
      <c r="AT43" s="1">
        <v>236.80000000000001</v>
      </c>
      <c r="AU43">
        <v>0</v>
      </c>
      <c r="AV43" s="1">
        <v>90.129999999999995</v>
      </c>
      <c r="AW43" s="1">
        <v>0</v>
      </c>
      <c r="AX43" s="1">
        <v>1001.86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3">
        <v>6794</v>
      </c>
      <c r="BE43">
        <v>14</v>
      </c>
      <c r="BF43" s="1">
        <v>943433.10999999999</v>
      </c>
      <c r="BG43">
        <v>94</v>
      </c>
      <c r="BH43" s="1">
        <v>0</v>
      </c>
      <c r="BI43" s="1">
        <v>366988.02000000002</v>
      </c>
      <c r="BJ43" s="3">
        <v>16868</v>
      </c>
      <c r="BK43" s="1">
        <v>86281.399999999994</v>
      </c>
      <c r="BL43" s="1">
        <v>59833.940000000002</v>
      </c>
      <c r="BM43" s="1">
        <v>26624.080000000002</v>
      </c>
      <c r="BN43" s="1">
        <v>73676.990000000005</v>
      </c>
      <c r="BO43" s="1">
        <v>37807.870000000003</v>
      </c>
      <c r="BP43">
        <v>1382</v>
      </c>
      <c r="BQ43">
        <v>816</v>
      </c>
      <c r="BR43">
        <v>2772</v>
      </c>
      <c r="BS43">
        <v>1003</v>
      </c>
      <c r="BT43">
        <v>297</v>
      </c>
      <c r="BU43" s="1">
        <v>70953.780000000013</v>
      </c>
      <c r="BV43" s="4">
        <v>0.22171714861250899</v>
      </c>
      <c r="BW43" s="1">
        <v>1001.86</v>
      </c>
      <c r="BX43" s="1">
        <v>44975.070000000007</v>
      </c>
      <c r="BY43" s="5">
        <v>0.14053859116523454</v>
      </c>
      <c r="BZ43" s="1">
        <v>18410.220000000001</v>
      </c>
      <c r="CA43" s="5">
        <v>0.057528457028349793</v>
      </c>
      <c r="CB43" s="1">
        <v>6436.0899999999992</v>
      </c>
      <c r="CC43" s="1">
        <v>0</v>
      </c>
      <c r="CD43" s="1">
        <v>1132.4000000000001</v>
      </c>
      <c r="CE43" s="1">
        <v>12509.189999999991</v>
      </c>
      <c r="CF43" s="1">
        <v>47.103232263762138</v>
      </c>
      <c r="CG43" s="17">
        <v>2.482778922578746</v>
      </c>
      <c r="CH43" s="5">
        <v>0.67628467852694918</v>
      </c>
      <c r="CI43" s="5">
        <v>0.039088853874340579</v>
      </c>
      <c r="CJ43" s="18">
        <f t="shared" si="3"/>
        <v>11507.329999999991</v>
      </c>
      <c r="CK43" s="19">
        <f t="shared" si="4"/>
        <v>0.035958230777037963</v>
      </c>
    </row>
    <row r="44">
      <c r="A44" t="s">
        <v>89</v>
      </c>
      <c r="B44" s="16">
        <v>22082397000817</v>
      </c>
      <c r="C44" t="s">
        <v>106</v>
      </c>
      <c r="D44" t="s">
        <v>91</v>
      </c>
      <c r="E44" t="s">
        <v>92</v>
      </c>
      <c r="F44" t="s">
        <v>93</v>
      </c>
      <c r="G44" s="1">
        <v>607230.23999999999</v>
      </c>
      <c r="H44" s="1">
        <v>383410.84999999998</v>
      </c>
      <c r="I44" s="5">
        <f t="shared" si="0"/>
        <v>0.38703305755266015</v>
      </c>
      <c r="J44" s="1">
        <v>8044.2600000000002</v>
      </c>
      <c r="K44" s="1">
        <v>5381.6899999999996</v>
      </c>
      <c r="L44" s="1">
        <v>448917.03999999998</v>
      </c>
      <c r="M44" s="1">
        <f t="shared" si="1"/>
        <v>158313.20000000001</v>
      </c>
      <c r="N44" s="5">
        <f t="shared" si="2"/>
        <v>0.26071362980868673</v>
      </c>
      <c r="O44" s="1">
        <v>4738.5799999999999</v>
      </c>
      <c r="P44" s="1">
        <v>0</v>
      </c>
      <c r="Q44">
        <v>0</v>
      </c>
      <c r="R44">
        <v>52810.370000000003</v>
      </c>
      <c r="S44">
        <v>9849.2900000000009</v>
      </c>
      <c r="T44">
        <v>4924.5200000000004</v>
      </c>
      <c r="U44">
        <v>5781.7600000000002</v>
      </c>
      <c r="V44">
        <v>1359.3800000000001</v>
      </c>
      <c r="W44">
        <v>3149.2199999999998</v>
      </c>
      <c r="X44">
        <v>1412</v>
      </c>
      <c r="Y44">
        <v>0</v>
      </c>
      <c r="Z44">
        <v>1745.77</v>
      </c>
      <c r="AA44">
        <v>217</v>
      </c>
      <c r="AB44">
        <v>0</v>
      </c>
      <c r="AC44">
        <v>1586.8099999999999</v>
      </c>
      <c r="AD44">
        <v>2331.4200000000001</v>
      </c>
      <c r="AE44">
        <v>9.3699999999999992</v>
      </c>
      <c r="AF44">
        <v>97.349999999999994</v>
      </c>
      <c r="AG44">
        <v>847.76999999999998</v>
      </c>
      <c r="AH44">
        <v>1320.3199999999999</v>
      </c>
      <c r="AI44">
        <v>21202.77</v>
      </c>
      <c r="AJ44">
        <v>5700.5699999999997</v>
      </c>
      <c r="AK44">
        <v>227.47</v>
      </c>
      <c r="AL44">
        <v>264.14999999999998</v>
      </c>
      <c r="AM44">
        <v>509.25999999999999</v>
      </c>
      <c r="AN44">
        <v>203.09999999999999</v>
      </c>
      <c r="AO44">
        <v>1990</v>
      </c>
      <c r="AP44">
        <v>64</v>
      </c>
      <c r="AQ44" s="1">
        <v>1745.01</v>
      </c>
      <c r="AR44" s="1">
        <v>1409.51</v>
      </c>
      <c r="AS44" s="1">
        <v>0</v>
      </c>
      <c r="AT44" s="1">
        <v>306.06</v>
      </c>
      <c r="AU44">
        <v>0</v>
      </c>
      <c r="AV44" s="1">
        <v>60.5</v>
      </c>
      <c r="AW44" s="1">
        <v>4686.79</v>
      </c>
      <c r="AX44" s="1">
        <v>4442.3699999999999</v>
      </c>
      <c r="AY44" s="1">
        <v>0</v>
      </c>
      <c r="AZ44" s="1">
        <v>80.239999999999995</v>
      </c>
      <c r="BA44" s="1">
        <v>0</v>
      </c>
      <c r="BB44" s="1">
        <v>1935.98</v>
      </c>
      <c r="BC44" s="1">
        <v>5110.96</v>
      </c>
      <c r="BD44" s="3">
        <v>8649</v>
      </c>
      <c r="BE44">
        <v>20</v>
      </c>
      <c r="BF44" s="1">
        <v>1728876.79</v>
      </c>
      <c r="BG44">
        <v>188</v>
      </c>
      <c r="BH44" s="1">
        <v>120099.22</v>
      </c>
      <c r="BI44" s="1">
        <v>667635.66000000003</v>
      </c>
      <c r="BJ44" s="3">
        <v>26456</v>
      </c>
      <c r="BK44" s="1">
        <v>272667.84000000003</v>
      </c>
      <c r="BL44" s="1">
        <v>96339.110000000001</v>
      </c>
      <c r="BM44" s="1">
        <v>33097.059999999998</v>
      </c>
      <c r="BN44" s="1">
        <v>89849.160000000003</v>
      </c>
      <c r="BO44" s="1">
        <v>55266.919999999998</v>
      </c>
      <c r="BP44">
        <v>2133</v>
      </c>
      <c r="BQ44">
        <v>878</v>
      </c>
      <c r="BR44">
        <v>4245</v>
      </c>
      <c r="BS44">
        <v>1542</v>
      </c>
      <c r="BT44">
        <v>308</v>
      </c>
      <c r="BU44" s="1">
        <v>120758.19000000002</v>
      </c>
      <c r="BV44" s="4">
        <v>0.19886722044672878</v>
      </c>
      <c r="BW44" s="1">
        <v>11569.549999999999</v>
      </c>
      <c r="BX44" s="1">
        <v>77874.540000000008</v>
      </c>
      <c r="BY44" s="5">
        <v>0.12824549054078732</v>
      </c>
      <c r="BZ44" s="1">
        <v>33315.839999999997</v>
      </c>
      <c r="CA44" s="5">
        <v>0.054865251770069942</v>
      </c>
      <c r="CB44" s="1">
        <v>5890.3699999999999</v>
      </c>
      <c r="CC44" s="1">
        <v>1412</v>
      </c>
      <c r="CD44" s="1">
        <v>2265.4400000000001</v>
      </c>
      <c r="CE44" s="1">
        <v>23831.710000000083</v>
      </c>
      <c r="CF44" s="1">
        <v>70.208144294138052</v>
      </c>
      <c r="CG44" s="17">
        <v>3.0588507341889235</v>
      </c>
      <c r="CH44" s="5">
        <v>0.73928637019131327</v>
      </c>
      <c r="CI44" s="5">
        <v>0.039246579682856511</v>
      </c>
      <c r="CJ44" s="18">
        <f t="shared" si="3"/>
        <v>12262.160000000084</v>
      </c>
      <c r="CK44" s="19">
        <f t="shared" si="4"/>
        <v>0.020193592466673075</v>
      </c>
    </row>
    <row r="45">
      <c r="A45" t="s">
        <v>94</v>
      </c>
      <c r="B45" s="16">
        <v>22082397000817</v>
      </c>
      <c r="C45" t="s">
        <v>106</v>
      </c>
      <c r="D45" t="s">
        <v>91</v>
      </c>
      <c r="E45" t="s">
        <v>92</v>
      </c>
      <c r="F45" t="s">
        <v>93</v>
      </c>
      <c r="G45" s="1">
        <v>528911.76000000001</v>
      </c>
      <c r="H45" s="1">
        <v>350447.84999999998</v>
      </c>
      <c r="I45" s="5">
        <f t="shared" si="0"/>
        <v>0.39852620704287289</v>
      </c>
      <c r="J45" s="1">
        <v>8483.3600000000006</v>
      </c>
      <c r="K45" s="1">
        <v>5660.8999999999996</v>
      </c>
      <c r="L45" s="1">
        <v>388908.57000000001</v>
      </c>
      <c r="M45" s="1">
        <f t="shared" si="1"/>
        <v>140003.19</v>
      </c>
      <c r="N45" s="5">
        <f t="shared" si="2"/>
        <v>0.2647004672386184</v>
      </c>
      <c r="O45" s="1">
        <v>4651.4799999999996</v>
      </c>
      <c r="P45" s="1">
        <v>0</v>
      </c>
      <c r="Q45">
        <v>0</v>
      </c>
      <c r="R45">
        <v>58272.489999999998</v>
      </c>
      <c r="S45">
        <v>12976.059999999999</v>
      </c>
      <c r="T45">
        <v>4216.5299999999997</v>
      </c>
      <c r="U45">
        <v>8053.0699999999997</v>
      </c>
      <c r="V45">
        <v>1724.55</v>
      </c>
      <c r="W45">
        <v>3197.8299999999999</v>
      </c>
      <c r="X45">
        <v>0</v>
      </c>
      <c r="Y45">
        <v>0</v>
      </c>
      <c r="Z45">
        <v>1714.22</v>
      </c>
      <c r="AA45">
        <v>385.08999999999997</v>
      </c>
      <c r="AB45">
        <v>109.31</v>
      </c>
      <c r="AC45">
        <v>1586.8099999999999</v>
      </c>
      <c r="AD45">
        <v>2294.8000000000002</v>
      </c>
      <c r="AE45">
        <v>9.3699999999999992</v>
      </c>
      <c r="AF45">
        <v>17.469999999999999</v>
      </c>
      <c r="AG45">
        <v>596.41999999999996</v>
      </c>
      <c r="AH45">
        <v>156.72</v>
      </c>
      <c r="AI45">
        <v>21202.77</v>
      </c>
      <c r="AJ45">
        <v>6235.2799999999997</v>
      </c>
      <c r="AK45">
        <v>76.010000000000005</v>
      </c>
      <c r="AL45">
        <v>222.27000000000001</v>
      </c>
      <c r="AM45">
        <v>471.24000000000001</v>
      </c>
      <c r="AN45">
        <v>524.76999999999998</v>
      </c>
      <c r="AO45">
        <v>1686.9000000000001</v>
      </c>
      <c r="AP45">
        <v>1241.1500000000001</v>
      </c>
      <c r="AQ45" s="1">
        <v>2247.3699999999999</v>
      </c>
      <c r="AR45" s="1">
        <v>774.35000000000002</v>
      </c>
      <c r="AS45" s="1">
        <v>175.03999999999999</v>
      </c>
      <c r="AT45" s="1">
        <v>296.94999999999999</v>
      </c>
      <c r="AU45">
        <v>0</v>
      </c>
      <c r="AV45" s="1">
        <v>65.060000000000002</v>
      </c>
      <c r="AW45" s="1">
        <v>4686.79</v>
      </c>
      <c r="AX45" s="1">
        <v>2469.4099999999999</v>
      </c>
      <c r="AY45" s="1">
        <v>1395.6400000000001</v>
      </c>
      <c r="AZ45" s="1">
        <v>6.4800000000000004</v>
      </c>
      <c r="BA45" s="1">
        <v>0</v>
      </c>
      <c r="BB45" s="1">
        <v>240.05000000000001</v>
      </c>
      <c r="BC45" s="1">
        <v>5000</v>
      </c>
      <c r="BD45" s="3">
        <v>8695</v>
      </c>
      <c r="BE45">
        <v>22</v>
      </c>
      <c r="BF45" s="1">
        <v>1743031.4099999999</v>
      </c>
      <c r="BG45">
        <v>203.44999999999999</v>
      </c>
      <c r="BH45" s="1">
        <v>109773.31</v>
      </c>
      <c r="BI45" s="1">
        <v>736586.44999999995</v>
      </c>
      <c r="BJ45" s="3">
        <v>27050</v>
      </c>
      <c r="BK45" s="1">
        <v>192504.56</v>
      </c>
      <c r="BL45" s="1">
        <v>89480.300000000003</v>
      </c>
      <c r="BM45" s="1">
        <v>36233.139999999999</v>
      </c>
      <c r="BN45" s="1">
        <v>88210.850000000006</v>
      </c>
      <c r="BO45" s="1">
        <v>62176.489999999998</v>
      </c>
      <c r="BP45">
        <v>2128</v>
      </c>
      <c r="BQ45">
        <v>904</v>
      </c>
      <c r="BR45">
        <v>4347</v>
      </c>
      <c r="BS45">
        <v>1545</v>
      </c>
      <c r="BT45">
        <v>322</v>
      </c>
      <c r="BU45" s="1">
        <v>129992.84999999999</v>
      </c>
      <c r="BV45" s="4">
        <v>0.24577417223621573</v>
      </c>
      <c r="BW45" s="1">
        <v>9111.5799999999999</v>
      </c>
      <c r="BX45" s="1">
        <v>88440.529999999999</v>
      </c>
      <c r="BY45" s="5">
        <v>0.16721225861947178</v>
      </c>
      <c r="BZ45" s="1">
        <v>34682.110000000001</v>
      </c>
      <c r="CA45" s="5">
        <v>0.065572582466307802</v>
      </c>
      <c r="CB45" s="1">
        <v>6099.5999999999995</v>
      </c>
      <c r="CC45" s="1">
        <v>0</v>
      </c>
      <c r="CD45" s="1">
        <v>770.61000000000001</v>
      </c>
      <c r="CE45" s="1">
        <v>-4505.5400000000045</v>
      </c>
      <c r="CF45" s="1">
        <v>60.829414606095462</v>
      </c>
      <c r="CG45" s="17">
        <v>3.1109833237492812</v>
      </c>
      <c r="CH45" s="5">
        <v>0.7352995327613816</v>
      </c>
      <c r="CI45" s="5">
        <v>-0.00851850977940064</v>
      </c>
      <c r="CJ45" s="18">
        <f t="shared" si="3"/>
        <v>-13617.120000000004</v>
      </c>
      <c r="CK45" s="19">
        <f t="shared" si="4"/>
        <v>-0.025745542129749589</v>
      </c>
    </row>
    <row r="46">
      <c r="A46" t="s">
        <v>95</v>
      </c>
      <c r="B46" s="16">
        <v>22082397000817</v>
      </c>
      <c r="C46" t="s">
        <v>106</v>
      </c>
      <c r="D46" t="s">
        <v>91</v>
      </c>
      <c r="E46" t="s">
        <v>92</v>
      </c>
      <c r="F46" t="s">
        <v>93</v>
      </c>
      <c r="G46" s="1">
        <v>563763.48999999999</v>
      </c>
      <c r="H46" s="1">
        <v>367752.38</v>
      </c>
      <c r="I46" s="5">
        <f t="shared" si="0"/>
        <v>0.39478917304973021</v>
      </c>
      <c r="J46" s="1">
        <v>16541.810000000001</v>
      </c>
      <c r="K46" s="1">
        <v>5700.54</v>
      </c>
      <c r="L46" s="1">
        <v>418893.60999999999</v>
      </c>
      <c r="M46" s="1">
        <f t="shared" si="1"/>
        <v>144869.88</v>
      </c>
      <c r="N46" s="5">
        <f t="shared" si="2"/>
        <v>0.25696924786668962</v>
      </c>
      <c r="O46" s="1">
        <v>5276.3100000000004</v>
      </c>
      <c r="P46" s="1">
        <v>299</v>
      </c>
      <c r="Q46">
        <v>0</v>
      </c>
      <c r="R46">
        <v>48003.25</v>
      </c>
      <c r="S46">
        <v>14995.76</v>
      </c>
      <c r="T46">
        <v>5333.1599999999999</v>
      </c>
      <c r="U46">
        <v>7147.5299999999997</v>
      </c>
      <c r="V46">
        <v>1852.0699999999999</v>
      </c>
      <c r="W46">
        <v>5904.4300000000003</v>
      </c>
      <c r="X46">
        <v>0</v>
      </c>
      <c r="Y46">
        <v>0</v>
      </c>
      <c r="Z46">
        <v>1714.22</v>
      </c>
      <c r="AA46">
        <v>385.08999999999997</v>
      </c>
      <c r="AB46">
        <v>0</v>
      </c>
      <c r="AC46">
        <v>1729.99</v>
      </c>
      <c r="AD46">
        <v>2370.5</v>
      </c>
      <c r="AE46">
        <v>9.3699999999999992</v>
      </c>
      <c r="AF46">
        <v>0</v>
      </c>
      <c r="AG46">
        <v>716.16999999999996</v>
      </c>
      <c r="AH46">
        <v>846.63999999999999</v>
      </c>
      <c r="AI46">
        <v>21202.77</v>
      </c>
      <c r="AJ46">
        <v>3554.5999999999999</v>
      </c>
      <c r="AK46">
        <v>64.650000000000006</v>
      </c>
      <c r="AL46">
        <v>216.71000000000001</v>
      </c>
      <c r="AM46">
        <v>3658.0900000000001</v>
      </c>
      <c r="AN46">
        <v>318.30000000000001</v>
      </c>
      <c r="AO46">
        <v>2514.3600000000001</v>
      </c>
      <c r="AP46">
        <v>56.140000000000001</v>
      </c>
      <c r="AQ46" s="1">
        <v>3480.3600000000001</v>
      </c>
      <c r="AR46" s="1">
        <v>1015.63</v>
      </c>
      <c r="AS46" s="1">
        <v>0</v>
      </c>
      <c r="AT46" s="1">
        <v>257.45999999999998</v>
      </c>
      <c r="AU46">
        <v>0</v>
      </c>
      <c r="AV46" s="1">
        <v>63.479999999999997</v>
      </c>
      <c r="AW46" s="1">
        <v>4791.8699999999999</v>
      </c>
      <c r="AX46" s="1">
        <v>1953.3</v>
      </c>
      <c r="AY46" s="1">
        <v>0</v>
      </c>
      <c r="AZ46" s="1">
        <v>6.4800000000000004</v>
      </c>
      <c r="BA46" s="1">
        <v>0</v>
      </c>
      <c r="BB46" s="1">
        <v>5395.21</v>
      </c>
      <c r="BC46" s="1">
        <v>0</v>
      </c>
      <c r="BD46" s="3">
        <v>8692</v>
      </c>
      <c r="BE46">
        <v>23</v>
      </c>
      <c r="BF46" s="1">
        <v>1730589.22</v>
      </c>
      <c r="BG46">
        <v>203.44999999999999</v>
      </c>
      <c r="BH46" s="1">
        <v>148629.42000000001</v>
      </c>
      <c r="BI46" s="1">
        <v>724175.64000000001</v>
      </c>
      <c r="BJ46" s="3">
        <v>26365</v>
      </c>
      <c r="BK46" s="1">
        <v>222532.31</v>
      </c>
      <c r="BL46" s="1">
        <v>94500.889999999999</v>
      </c>
      <c r="BM46" s="1">
        <v>36143.209999999999</v>
      </c>
      <c r="BN46" s="1">
        <v>86726.479999999996</v>
      </c>
      <c r="BO46" s="1">
        <v>61124.540000000001</v>
      </c>
      <c r="BP46">
        <v>2136</v>
      </c>
      <c r="BQ46">
        <v>900</v>
      </c>
      <c r="BR46">
        <v>4240</v>
      </c>
      <c r="BS46">
        <v>1516</v>
      </c>
      <c r="BT46">
        <v>312</v>
      </c>
      <c r="BU46" s="1">
        <v>127089.79000000002</v>
      </c>
      <c r="BV46" s="4">
        <v>0.22543104023994179</v>
      </c>
      <c r="BW46" s="1">
        <v>7354.9899999999998</v>
      </c>
      <c r="BX46" s="1">
        <v>83236.200000000012</v>
      </c>
      <c r="BY46" s="5">
        <v>0.14764382844302318</v>
      </c>
      <c r="BZ46" s="1">
        <v>36081.609999999993</v>
      </c>
      <c r="CA46" s="5">
        <v>0.064001324385160152</v>
      </c>
      <c r="CB46" s="1">
        <v>6209.1700000000001</v>
      </c>
      <c r="CC46" s="1">
        <v>0</v>
      </c>
      <c r="CD46" s="1">
        <v>1562.8099999999999</v>
      </c>
      <c r="CE46" s="1">
        <v>-5439.6800000000821</v>
      </c>
      <c r="CF46" s="1">
        <v>64.860042567878509</v>
      </c>
      <c r="CG46" s="17">
        <v>3.0332489645651175</v>
      </c>
      <c r="CH46" s="5">
        <v>0.74303075213331038</v>
      </c>
      <c r="CI46" s="5">
        <v>-0.0096488688900377047</v>
      </c>
      <c r="CJ46" s="18">
        <f t="shared" si="3"/>
        <v>-12794.670000000082</v>
      </c>
      <c r="CK46" s="19">
        <f t="shared" si="4"/>
        <v>-0.022695102160659751</v>
      </c>
    </row>
    <row r="47">
      <c r="A47" t="s">
        <v>96</v>
      </c>
      <c r="B47" s="16">
        <v>22082397000817</v>
      </c>
      <c r="C47" t="s">
        <v>106</v>
      </c>
      <c r="D47" t="s">
        <v>91</v>
      </c>
      <c r="E47" t="s">
        <v>92</v>
      </c>
      <c r="F47" t="s">
        <v>93</v>
      </c>
      <c r="G47" s="1">
        <v>605807.42000000004</v>
      </c>
      <c r="H47" s="1">
        <v>393958.84999999998</v>
      </c>
      <c r="I47" s="5">
        <f t="shared" si="0"/>
        <v>0.39405095152890079</v>
      </c>
      <c r="J47" s="1">
        <v>11224.68</v>
      </c>
      <c r="K47" s="1">
        <v>2926.21</v>
      </c>
      <c r="L47" s="1">
        <v>435043.5</v>
      </c>
      <c r="M47" s="1">
        <f t="shared" si="1"/>
        <v>170763.92000000004</v>
      </c>
      <c r="N47" s="5">
        <f t="shared" si="2"/>
        <v>0.28187822460147488</v>
      </c>
      <c r="O47" s="1">
        <v>7066.04</v>
      </c>
      <c r="P47" s="1">
        <v>644.09000000000003</v>
      </c>
      <c r="Q47">
        <v>0</v>
      </c>
      <c r="R47">
        <v>42000.07</v>
      </c>
      <c r="S47">
        <v>15591.48</v>
      </c>
      <c r="T47">
        <v>4666.21</v>
      </c>
      <c r="U47">
        <v>8823.9400000000005</v>
      </c>
      <c r="V47">
        <v>1681.0699999999999</v>
      </c>
      <c r="W47">
        <v>3406.1700000000001</v>
      </c>
      <c r="X47">
        <v>0</v>
      </c>
      <c r="Y47">
        <v>0</v>
      </c>
      <c r="Z47">
        <v>1714.22</v>
      </c>
      <c r="AA47">
        <v>385.08999999999997</v>
      </c>
      <c r="AB47">
        <v>35.310000000000002</v>
      </c>
      <c r="AC47">
        <v>1586.8099999999999</v>
      </c>
      <c r="AD47">
        <v>2338.54</v>
      </c>
      <c r="AE47">
        <v>9.3699999999999992</v>
      </c>
      <c r="AF47">
        <v>0</v>
      </c>
      <c r="AG47">
        <v>291.16000000000003</v>
      </c>
      <c r="AH47">
        <v>1251.8499999999999</v>
      </c>
      <c r="AI47">
        <v>21202.77</v>
      </c>
      <c r="AJ47">
        <v>3216.79</v>
      </c>
      <c r="AK47">
        <v>110.53</v>
      </c>
      <c r="AL47">
        <v>243.53</v>
      </c>
      <c r="AM47">
        <v>1522.01</v>
      </c>
      <c r="AN47">
        <v>266.89999999999998</v>
      </c>
      <c r="AO47">
        <v>3156.0500000000002</v>
      </c>
      <c r="AP47">
        <v>1290.47</v>
      </c>
      <c r="AQ47" s="1">
        <v>2311.5300000000002</v>
      </c>
      <c r="AR47" s="1">
        <v>499.13999999999999</v>
      </c>
      <c r="AS47" s="1">
        <v>182.11000000000001</v>
      </c>
      <c r="AT47" s="1">
        <v>288.12</v>
      </c>
      <c r="AU47">
        <v>0</v>
      </c>
      <c r="AV47" s="1">
        <v>56.200000000000003</v>
      </c>
      <c r="AW47" s="1">
        <v>3712.0900000000001</v>
      </c>
      <c r="AX47" s="1">
        <v>1414.97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3">
        <v>8687</v>
      </c>
      <c r="BE47">
        <v>20</v>
      </c>
      <c r="BF47" s="1">
        <v>1611150.3400000001</v>
      </c>
      <c r="BG47">
        <v>203.44999999999999</v>
      </c>
      <c r="BH47" s="1">
        <v>145364.82999999999</v>
      </c>
      <c r="BI47" s="1">
        <v>735032.91000000003</v>
      </c>
      <c r="BJ47" s="3">
        <v>26095</v>
      </c>
      <c r="BK47" s="1">
        <v>258377.39000000001</v>
      </c>
      <c r="BL47" s="1">
        <v>105978.56</v>
      </c>
      <c r="BM47" s="1">
        <v>36964.419999999998</v>
      </c>
      <c r="BN47" s="1">
        <v>81172.919999999998</v>
      </c>
      <c r="BO47" s="1">
        <v>62101.919999999998</v>
      </c>
      <c r="BP47">
        <v>2141</v>
      </c>
      <c r="BQ47">
        <v>880</v>
      </c>
      <c r="BR47">
        <v>4246</v>
      </c>
      <c r="BS47">
        <v>1521</v>
      </c>
      <c r="BT47">
        <v>294</v>
      </c>
      <c r="BU47" s="1">
        <v>117601.00999999998</v>
      </c>
      <c r="BV47" s="4">
        <v>0.19412276264295339</v>
      </c>
      <c r="BW47" s="1">
        <v>1414.97</v>
      </c>
      <c r="BX47" s="1">
        <v>76168.940000000002</v>
      </c>
      <c r="BY47" s="5">
        <v>0.12573127612071835</v>
      </c>
      <c r="BZ47" s="1">
        <v>33819.720000000001</v>
      </c>
      <c r="CA47" s="5">
        <v>0.055825859643647148</v>
      </c>
      <c r="CB47" s="1">
        <v>6069.3399999999992</v>
      </c>
      <c r="CC47" s="1">
        <v>0</v>
      </c>
      <c r="CD47" s="1">
        <v>1543.01</v>
      </c>
      <c r="CE47" s="1">
        <v>34599.950000000026</v>
      </c>
      <c r="CF47" s="1">
        <v>69.737241855646374</v>
      </c>
      <c r="CG47" s="17">
        <v>3.0039138943248531</v>
      </c>
      <c r="CH47" s="5">
        <v>0.71812177539852506</v>
      </c>
      <c r="CI47" s="5">
        <v>0.057113777180213515</v>
      </c>
      <c r="CJ47" s="18">
        <f t="shared" si="3"/>
        <v>33184.980000000025</v>
      </c>
      <c r="CK47" s="19">
        <f t="shared" si="4"/>
        <v>0.054778100935112387</v>
      </c>
    </row>
    <row r="48">
      <c r="A48" t="s">
        <v>97</v>
      </c>
      <c r="B48" s="16">
        <v>22082397000817</v>
      </c>
      <c r="C48" t="s">
        <v>106</v>
      </c>
      <c r="D48" t="s">
        <v>91</v>
      </c>
      <c r="E48" t="s">
        <v>92</v>
      </c>
      <c r="F48" t="s">
        <v>93</v>
      </c>
      <c r="G48" s="1">
        <v>483771.92999999999</v>
      </c>
      <c r="H48" s="1">
        <v>324854.66999999998</v>
      </c>
      <c r="I48" s="5">
        <f t="shared" si="0"/>
        <v>0.40173631438787694</v>
      </c>
      <c r="J48" s="1">
        <v>7507.7299999999996</v>
      </c>
      <c r="K48" s="1">
        <v>6553.7299999999996</v>
      </c>
      <c r="L48" s="1">
        <v>342710.28000000003</v>
      </c>
      <c r="M48" s="1">
        <f t="shared" si="1"/>
        <v>141061.64999999997</v>
      </c>
      <c r="N48" s="5">
        <f t="shared" si="2"/>
        <v>0.29158709146270634</v>
      </c>
      <c r="O48" s="1">
        <v>9233.0599999999995</v>
      </c>
      <c r="P48" s="1">
        <v>990</v>
      </c>
      <c r="Q48">
        <v>0</v>
      </c>
      <c r="R48">
        <v>36866.989999999998</v>
      </c>
      <c r="S48">
        <v>19102.450000000001</v>
      </c>
      <c r="T48">
        <v>4095.9200000000001</v>
      </c>
      <c r="U48">
        <v>7324.6300000000001</v>
      </c>
      <c r="V48">
        <v>4009.9499999999998</v>
      </c>
      <c r="W48">
        <v>3598.1300000000001</v>
      </c>
      <c r="X48">
        <v>0</v>
      </c>
      <c r="Y48">
        <v>0</v>
      </c>
      <c r="Z48">
        <v>1714.22</v>
      </c>
      <c r="AA48">
        <v>385.08999999999997</v>
      </c>
      <c r="AB48">
        <v>0</v>
      </c>
      <c r="AC48">
        <v>1586.8099999999999</v>
      </c>
      <c r="AD48">
        <v>2556.1399999999999</v>
      </c>
      <c r="AE48">
        <v>9.3699999999999992</v>
      </c>
      <c r="AF48">
        <v>0</v>
      </c>
      <c r="AG48">
        <v>380.01999999999998</v>
      </c>
      <c r="AH48">
        <v>681.82000000000005</v>
      </c>
      <c r="AI48">
        <v>21685.48</v>
      </c>
      <c r="AJ48">
        <v>4081.5900000000001</v>
      </c>
      <c r="AK48">
        <v>124.11</v>
      </c>
      <c r="AL48">
        <v>236.81</v>
      </c>
      <c r="AM48">
        <v>969.76999999999998</v>
      </c>
      <c r="AN48">
        <v>571.14999999999998</v>
      </c>
      <c r="AO48">
        <v>1054.49</v>
      </c>
      <c r="AP48">
        <v>2868.98</v>
      </c>
      <c r="AQ48" s="1">
        <v>3014.1599999999999</v>
      </c>
      <c r="AR48" s="1">
        <v>1307.96</v>
      </c>
      <c r="AS48" s="1">
        <v>0</v>
      </c>
      <c r="AT48" s="1">
        <v>289.61000000000001</v>
      </c>
      <c r="AU48">
        <v>0</v>
      </c>
      <c r="AV48" s="1">
        <v>45.579999999999998</v>
      </c>
      <c r="AW48" s="1">
        <v>3380.6599999999999</v>
      </c>
      <c r="AX48" s="1">
        <v>2321.9699999999998</v>
      </c>
      <c r="AY48" s="1">
        <v>0</v>
      </c>
      <c r="AZ48" s="1">
        <v>6195.1199999999999</v>
      </c>
      <c r="BA48" s="1">
        <v>0</v>
      </c>
      <c r="BB48" s="1">
        <v>0</v>
      </c>
      <c r="BC48" s="1">
        <v>0</v>
      </c>
      <c r="BD48" s="3">
        <v>7711</v>
      </c>
      <c r="BE48">
        <v>21</v>
      </c>
      <c r="BF48" s="1">
        <v>1779460.1200000001</v>
      </c>
      <c r="BG48">
        <v>203.44999999999999</v>
      </c>
      <c r="BH48" s="1">
        <v>116402.92999999999</v>
      </c>
      <c r="BI48" s="1">
        <v>721769.10999999999</v>
      </c>
      <c r="BJ48" s="3">
        <v>22716</v>
      </c>
      <c r="BK48" s="1">
        <v>177067.82000000001</v>
      </c>
      <c r="BL48" s="1">
        <v>93061.300000000003</v>
      </c>
      <c r="BM48" s="1">
        <v>32300</v>
      </c>
      <c r="BN48" s="1">
        <v>73565.910000000003</v>
      </c>
      <c r="BO48" s="1">
        <v>60211.209999999999</v>
      </c>
      <c r="BP48">
        <v>2089</v>
      </c>
      <c r="BQ48">
        <v>846</v>
      </c>
      <c r="BR48">
        <v>3956</v>
      </c>
      <c r="BS48">
        <v>1508</v>
      </c>
      <c r="BT48">
        <v>283</v>
      </c>
      <c r="BU48" s="1">
        <v>118226.04000000001</v>
      </c>
      <c r="BV48" s="4">
        <v>0.24438383599478375</v>
      </c>
      <c r="BW48" s="1">
        <v>8517.0900000000001</v>
      </c>
      <c r="BX48" s="1">
        <v>74998.070000000007</v>
      </c>
      <c r="BY48" s="5">
        <v>0.1550277421015312</v>
      </c>
      <c r="BZ48" s="1">
        <v>35914.500000000007</v>
      </c>
      <c r="CA48" s="5">
        <v>0.074238494986676895</v>
      </c>
      <c r="CB48" s="1">
        <v>6251.6300000000001</v>
      </c>
      <c r="CC48" s="1">
        <v>0</v>
      </c>
      <c r="CD48" s="1">
        <v>1061.8400000000001</v>
      </c>
      <c r="CE48" s="1">
        <v>1687.7200000000339</v>
      </c>
      <c r="CF48" s="1">
        <v>62.737897808325769</v>
      </c>
      <c r="CG48" s="17">
        <v>2.9459214109713399</v>
      </c>
      <c r="CH48" s="5">
        <v>0.70841290853729366</v>
      </c>
      <c r="CI48" s="5">
        <v>0.0034886687204030912</v>
      </c>
      <c r="CJ48" s="18">
        <f t="shared" si="3"/>
        <v>-6829.3699999999662</v>
      </c>
      <c r="CK48" s="19">
        <f t="shared" si="4"/>
        <v>-0.01411692075643985</v>
      </c>
    </row>
    <row r="49">
      <c r="A49" t="s">
        <v>98</v>
      </c>
      <c r="B49" s="16">
        <v>22082397000817</v>
      </c>
      <c r="C49" t="s">
        <v>106</v>
      </c>
      <c r="D49" t="s">
        <v>91</v>
      </c>
      <c r="E49" t="s">
        <v>92</v>
      </c>
      <c r="F49" t="s">
        <v>93</v>
      </c>
      <c r="G49" s="1">
        <v>518095.12</v>
      </c>
      <c r="H49" s="1">
        <v>351106.88</v>
      </c>
      <c r="I49" s="5">
        <f t="shared" si="0"/>
        <v>0.40394163842236902</v>
      </c>
      <c r="J49" s="1">
        <v>12713.870000000001</v>
      </c>
      <c r="K49" s="1">
        <v>4869.0500000000002</v>
      </c>
      <c r="L49" s="1">
        <v>371718.34000000003</v>
      </c>
      <c r="M49" s="1">
        <f t="shared" si="1"/>
        <v>146376.77999999997</v>
      </c>
      <c r="N49" s="5">
        <f t="shared" si="2"/>
        <v>0.28252877579700031</v>
      </c>
      <c r="O49" s="1">
        <v>5208.6099999999997</v>
      </c>
      <c r="P49" s="1">
        <v>399</v>
      </c>
      <c r="Q49">
        <v>0</v>
      </c>
      <c r="R49">
        <v>41114.879999999997</v>
      </c>
      <c r="S49">
        <v>20588.18</v>
      </c>
      <c r="T49">
        <v>4567.8599999999997</v>
      </c>
      <c r="U49">
        <v>6824.8000000000002</v>
      </c>
      <c r="V49">
        <v>2972.3200000000002</v>
      </c>
      <c r="W49">
        <v>3503.8699999999999</v>
      </c>
      <c r="X49">
        <v>0</v>
      </c>
      <c r="Y49">
        <v>0</v>
      </c>
      <c r="Z49">
        <v>1714.22</v>
      </c>
      <c r="AA49">
        <v>385.08999999999997</v>
      </c>
      <c r="AB49">
        <v>46.689999999999998</v>
      </c>
      <c r="AC49">
        <v>1586.8099999999999</v>
      </c>
      <c r="AD49">
        <v>3807.9099999999999</v>
      </c>
      <c r="AE49">
        <v>9.3699999999999992</v>
      </c>
      <c r="AF49">
        <v>391.89999999999998</v>
      </c>
      <c r="AG49">
        <v>319.58999999999997</v>
      </c>
      <c r="AH49">
        <v>613.82000000000005</v>
      </c>
      <c r="AI49">
        <v>21130.25</v>
      </c>
      <c r="AJ49">
        <v>5789.6999999999998</v>
      </c>
      <c r="AK49">
        <v>96.859999999999999</v>
      </c>
      <c r="AL49">
        <v>252.72</v>
      </c>
      <c r="AM49">
        <v>1983.98</v>
      </c>
      <c r="AN49">
        <v>439.88</v>
      </c>
      <c r="AO49">
        <v>1443.8399999999999</v>
      </c>
      <c r="AP49">
        <v>56.140000000000001</v>
      </c>
      <c r="AQ49" s="1">
        <v>3523.96</v>
      </c>
      <c r="AR49" s="1">
        <v>1601.1600000000001</v>
      </c>
      <c r="AS49" s="1">
        <v>64.269999999999996</v>
      </c>
      <c r="AT49" s="1">
        <v>236.80000000000001</v>
      </c>
      <c r="AU49">
        <v>0</v>
      </c>
      <c r="AV49" s="1">
        <v>51.899999999999999</v>
      </c>
      <c r="AW49" s="1">
        <v>0</v>
      </c>
      <c r="AX49" s="1">
        <v>2637.4899999999998</v>
      </c>
      <c r="AY49" s="1">
        <v>0</v>
      </c>
      <c r="AZ49" s="1">
        <v>743.70000000000005</v>
      </c>
      <c r="BA49" s="1">
        <v>0</v>
      </c>
      <c r="BB49" s="1">
        <v>0</v>
      </c>
      <c r="BC49" s="1">
        <v>0</v>
      </c>
      <c r="BD49" s="3">
        <v>7800</v>
      </c>
      <c r="BE49">
        <v>22</v>
      </c>
      <c r="BF49" s="1">
        <v>1561420.8300000001</v>
      </c>
      <c r="BG49">
        <v>203.44999999999999</v>
      </c>
      <c r="BH49" s="1">
        <v>142853.85000000001</v>
      </c>
      <c r="BI49" s="1">
        <v>640936.28000000003</v>
      </c>
      <c r="BJ49" s="3">
        <v>23437</v>
      </c>
      <c r="BK49" s="1">
        <v>199495.20000000001</v>
      </c>
      <c r="BL49" s="1">
        <v>97903.679999999993</v>
      </c>
      <c r="BM49" s="1">
        <v>30993.799999999999</v>
      </c>
      <c r="BN49" s="1">
        <v>74269.220000000001</v>
      </c>
      <c r="BO49" s="1">
        <v>61795.290000000001</v>
      </c>
      <c r="BP49">
        <v>2058</v>
      </c>
      <c r="BQ49">
        <v>917</v>
      </c>
      <c r="BR49">
        <v>4164</v>
      </c>
      <c r="BS49">
        <v>1596</v>
      </c>
      <c r="BT49">
        <v>296</v>
      </c>
      <c r="BU49" s="1">
        <v>124765.8</v>
      </c>
      <c r="BV49" s="4">
        <v>0.24081639680373751</v>
      </c>
      <c r="BW49" s="1">
        <v>3381.1899999999996</v>
      </c>
      <c r="BX49" s="1">
        <v>79571.910000000003</v>
      </c>
      <c r="BY49" s="5">
        <v>0.15358552305993542</v>
      </c>
      <c r="BZ49" s="1">
        <v>36318.490000000005</v>
      </c>
      <c r="CA49" s="5">
        <v>0.070100042633097964</v>
      </c>
      <c r="CB49" s="1">
        <v>7550.0899999999992</v>
      </c>
      <c r="CC49" s="1">
        <v>0</v>
      </c>
      <c r="CD49" s="1">
        <v>1325.3099999999999</v>
      </c>
      <c r="CE49" s="1">
        <v>-1828.7200000000048</v>
      </c>
      <c r="CF49" s="1">
        <v>66.422451282051284</v>
      </c>
      <c r="CG49" s="17">
        <v>3.0047435897435899</v>
      </c>
      <c r="CH49" s="5">
        <v>0.71747122420299969</v>
      </c>
      <c r="CI49" s="5">
        <v>-0.0035296993339755927</v>
      </c>
      <c r="CJ49" s="18">
        <f t="shared" si="3"/>
        <v>-5209.9100000000044</v>
      </c>
      <c r="CK49" s="19">
        <f t="shared" si="4"/>
        <v>-0.010055894755387785</v>
      </c>
    </row>
    <row r="50">
      <c r="A50" t="s">
        <v>89</v>
      </c>
      <c r="B50" s="16">
        <v>22082397001031</v>
      </c>
      <c r="C50" t="s">
        <v>107</v>
      </c>
      <c r="D50" t="s">
        <v>91</v>
      </c>
      <c r="E50" t="s">
        <v>92</v>
      </c>
      <c r="F50" t="s">
        <v>93</v>
      </c>
      <c r="G50" s="1">
        <v>300520.63</v>
      </c>
      <c r="H50" s="1">
        <v>172115.54000000001</v>
      </c>
      <c r="I50" s="5">
        <f t="shared" si="0"/>
        <v>0.36416074546304822</v>
      </c>
      <c r="J50" s="1">
        <v>8024.2700000000004</v>
      </c>
      <c r="K50" s="1">
        <v>2323.3899999999999</v>
      </c>
      <c r="L50" s="1">
        <v>198639.32999999999</v>
      </c>
      <c r="M50" s="1">
        <f t="shared" si="1"/>
        <v>101881.30000000002</v>
      </c>
      <c r="N50" s="5">
        <f t="shared" si="2"/>
        <v>0.33901599367737256</v>
      </c>
      <c r="O50" s="1">
        <v>2093.96</v>
      </c>
      <c r="P50" s="1">
        <v>0</v>
      </c>
      <c r="Q50">
        <v>0</v>
      </c>
      <c r="R50">
        <v>29684.790000000001</v>
      </c>
      <c r="S50">
        <v>7027.6999999999998</v>
      </c>
      <c r="T50">
        <v>2301.52</v>
      </c>
      <c r="U50">
        <v>3040</v>
      </c>
      <c r="V50">
        <v>2333.54</v>
      </c>
      <c r="W50">
        <v>1601.4200000000001</v>
      </c>
      <c r="X50">
        <v>1412</v>
      </c>
      <c r="Y50">
        <v>0</v>
      </c>
      <c r="Z50">
        <v>1684.2</v>
      </c>
      <c r="AA50">
        <v>217</v>
      </c>
      <c r="AB50">
        <v>0</v>
      </c>
      <c r="AC50">
        <v>1586.8099999999999</v>
      </c>
      <c r="AD50">
        <v>1933.4200000000001</v>
      </c>
      <c r="AE50">
        <v>9.3699999999999992</v>
      </c>
      <c r="AF50">
        <v>56.759999999999998</v>
      </c>
      <c r="AG50">
        <v>311.88</v>
      </c>
      <c r="AH50">
        <v>1320.3199999999999</v>
      </c>
      <c r="AI50">
        <v>10636.290000000001</v>
      </c>
      <c r="AJ50">
        <v>3878.9099999999999</v>
      </c>
      <c r="AK50">
        <v>120.02</v>
      </c>
      <c r="AL50">
        <v>290.23000000000002</v>
      </c>
      <c r="AM50">
        <v>278.49000000000001</v>
      </c>
      <c r="AN50">
        <v>203.18000000000001</v>
      </c>
      <c r="AO50">
        <v>586.87</v>
      </c>
      <c r="AP50">
        <v>54.090000000000003</v>
      </c>
      <c r="AQ50" s="1">
        <v>812.62</v>
      </c>
      <c r="AR50" s="1">
        <v>444.19</v>
      </c>
      <c r="AS50" s="1">
        <v>0</v>
      </c>
      <c r="AT50" s="1">
        <v>151.28999999999999</v>
      </c>
      <c r="AU50">
        <v>0</v>
      </c>
      <c r="AV50" s="1">
        <v>63.380000000000003</v>
      </c>
      <c r="AW50" s="1">
        <v>2580.02</v>
      </c>
      <c r="AX50" s="1">
        <v>422.44</v>
      </c>
      <c r="AY50" s="1">
        <v>0</v>
      </c>
      <c r="AZ50" s="1">
        <v>348.05000000000001</v>
      </c>
      <c r="BA50" s="1">
        <v>0</v>
      </c>
      <c r="BB50" s="1">
        <v>1935.98</v>
      </c>
      <c r="BC50" s="1">
        <v>5054.8500000000004</v>
      </c>
      <c r="BD50" s="3">
        <v>7937</v>
      </c>
      <c r="BE50">
        <v>11</v>
      </c>
      <c r="BF50" s="1">
        <v>1027657.48</v>
      </c>
      <c r="BG50">
        <v>144</v>
      </c>
      <c r="BH50" s="1">
        <v>0</v>
      </c>
      <c r="BI50" s="1">
        <v>336218.17999999999</v>
      </c>
      <c r="BJ50" s="3">
        <v>19705</v>
      </c>
      <c r="BK50" s="1">
        <v>79806.25</v>
      </c>
      <c r="BL50" s="1">
        <v>59308.800000000003</v>
      </c>
      <c r="BM50" s="1">
        <v>28726.990000000002</v>
      </c>
      <c r="BN50" s="1">
        <v>68199.149999999994</v>
      </c>
      <c r="BO50" s="1">
        <v>31283.880000000001</v>
      </c>
      <c r="BP50">
        <v>1356</v>
      </c>
      <c r="BQ50">
        <v>781</v>
      </c>
      <c r="BR50">
        <v>2723</v>
      </c>
      <c r="BS50">
        <v>965</v>
      </c>
      <c r="BT50">
        <v>293</v>
      </c>
      <c r="BU50" s="1">
        <v>71825.619999999981</v>
      </c>
      <c r="BV50" s="4">
        <v>0.23900395789799847</v>
      </c>
      <c r="BW50" s="1">
        <v>7761.3200000000006</v>
      </c>
      <c r="BX50" s="1">
        <v>45988.969999999994</v>
      </c>
      <c r="BY50" s="5">
        <v>0.15303099158284073</v>
      </c>
      <c r="BZ50" s="1">
        <v>17304.889999999999</v>
      </c>
      <c r="CA50" s="5">
        <v>0.057583035148036255</v>
      </c>
      <c r="CB50" s="1">
        <v>5430.8000000000002</v>
      </c>
      <c r="CC50" s="1">
        <v>1412</v>
      </c>
      <c r="CD50" s="1">
        <v>1688.96</v>
      </c>
      <c r="CE50" s="1">
        <v>20106.169999999995</v>
      </c>
      <c r="CF50" s="1">
        <v>37.863251858384778</v>
      </c>
      <c r="CG50" s="17">
        <v>2.4826760740834066</v>
      </c>
      <c r="CH50" s="5">
        <v>0.66098400632262744</v>
      </c>
      <c r="CI50" s="5">
        <v>0.066904458439342396</v>
      </c>
      <c r="CJ50" s="18">
        <f t="shared" si="3"/>
        <v>12344.849999999995</v>
      </c>
      <c r="CK50" s="19">
        <f t="shared" si="4"/>
        <v>0.041078211502484856</v>
      </c>
    </row>
    <row r="51">
      <c r="A51" t="s">
        <v>94</v>
      </c>
      <c r="B51" s="16">
        <v>22082397001031</v>
      </c>
      <c r="C51" t="s">
        <v>107</v>
      </c>
      <c r="D51" t="s">
        <v>91</v>
      </c>
      <c r="E51" t="s">
        <v>92</v>
      </c>
      <c r="F51" t="s">
        <v>93</v>
      </c>
      <c r="G51" s="1">
        <v>291232.53999999998</v>
      </c>
      <c r="H51" s="1">
        <v>168960.75</v>
      </c>
      <c r="I51" s="5">
        <f t="shared" si="0"/>
        <v>0.36715170271170189</v>
      </c>
      <c r="J51" s="1">
        <v>8463.3899999999994</v>
      </c>
      <c r="K51" s="1">
        <v>4207.3500000000004</v>
      </c>
      <c r="L51" s="1">
        <v>191220.42999999999</v>
      </c>
      <c r="M51" s="1">
        <f t="shared" si="1"/>
        <v>100012.10999999999</v>
      </c>
      <c r="N51" s="5">
        <f t="shared" si="2"/>
        <v>0.3434098057861254</v>
      </c>
      <c r="O51" s="1">
        <v>2021.5599999999999</v>
      </c>
      <c r="P51" s="1">
        <v>0</v>
      </c>
      <c r="Q51">
        <v>0</v>
      </c>
      <c r="R51">
        <v>22885.369999999999</v>
      </c>
      <c r="S51">
        <v>9207.3099999999995</v>
      </c>
      <c r="T51">
        <v>2223.8400000000001</v>
      </c>
      <c r="U51">
        <v>3351.23</v>
      </c>
      <c r="V51">
        <v>2857.6100000000001</v>
      </c>
      <c r="W51">
        <v>1732.48</v>
      </c>
      <c r="X51">
        <v>0</v>
      </c>
      <c r="Y51">
        <v>0</v>
      </c>
      <c r="Z51">
        <v>1714.22</v>
      </c>
      <c r="AA51">
        <v>385.08999999999997</v>
      </c>
      <c r="AB51">
        <v>59.310000000000002</v>
      </c>
      <c r="AC51">
        <v>1640.1400000000001</v>
      </c>
      <c r="AD51">
        <v>1896.79</v>
      </c>
      <c r="AE51">
        <v>9.3699999999999992</v>
      </c>
      <c r="AF51">
        <v>17.469999999999999</v>
      </c>
      <c r="AG51">
        <v>596.46000000000004</v>
      </c>
      <c r="AH51">
        <v>604.72000000000003</v>
      </c>
      <c r="AI51">
        <v>10636.290000000001</v>
      </c>
      <c r="AJ51">
        <v>3375.21</v>
      </c>
      <c r="AK51">
        <v>120.02</v>
      </c>
      <c r="AL51">
        <v>327.35000000000002</v>
      </c>
      <c r="AM51">
        <v>448.01999999999998</v>
      </c>
      <c r="AN51">
        <v>524.76999999999998</v>
      </c>
      <c r="AO51">
        <v>586.86000000000001</v>
      </c>
      <c r="AP51">
        <v>1858.5899999999999</v>
      </c>
      <c r="AQ51" s="1">
        <v>1621.54</v>
      </c>
      <c r="AR51" s="1">
        <v>1303.9200000000001</v>
      </c>
      <c r="AS51" s="1">
        <v>175.03999999999999</v>
      </c>
      <c r="AT51" s="1">
        <v>163.19</v>
      </c>
      <c r="AU51">
        <v>0</v>
      </c>
      <c r="AV51" s="1">
        <v>76.079999999999998</v>
      </c>
      <c r="AW51" s="1">
        <v>5812.6400000000003</v>
      </c>
      <c r="AX51" s="1">
        <v>567.87</v>
      </c>
      <c r="AY51" s="1">
        <v>242.28</v>
      </c>
      <c r="AZ51" s="1">
        <v>6.4800000000000004</v>
      </c>
      <c r="BA51" s="1">
        <v>0</v>
      </c>
      <c r="BB51" s="1">
        <v>240.05000000000001</v>
      </c>
      <c r="BC51" s="1">
        <v>5000</v>
      </c>
      <c r="BD51" s="3">
        <v>7940</v>
      </c>
      <c r="BE51">
        <v>11</v>
      </c>
      <c r="BF51" s="1">
        <v>1010620.02</v>
      </c>
      <c r="BG51">
        <v>114</v>
      </c>
      <c r="BH51" s="1">
        <v>0</v>
      </c>
      <c r="BI51" s="1">
        <v>357849.03000000003</v>
      </c>
      <c r="BJ51" s="3">
        <v>19909</v>
      </c>
      <c r="BK51" s="1">
        <v>70569.039999999994</v>
      </c>
      <c r="BL51" s="1">
        <v>56819.610000000001</v>
      </c>
      <c r="BM51" s="1">
        <v>35107.029999999999</v>
      </c>
      <c r="BN51" s="1">
        <v>66280.100000000006</v>
      </c>
      <c r="BO51" s="1">
        <v>31661.32</v>
      </c>
      <c r="BP51">
        <v>1379</v>
      </c>
      <c r="BQ51">
        <v>789</v>
      </c>
      <c r="BR51">
        <v>2728</v>
      </c>
      <c r="BS51">
        <v>939</v>
      </c>
      <c r="BT51">
        <v>325</v>
      </c>
      <c r="BU51" s="1">
        <v>69983.979999999996</v>
      </c>
      <c r="BV51" s="4">
        <v>0.24030274913648042</v>
      </c>
      <c r="BW51" s="1">
        <v>6056.6800000000003</v>
      </c>
      <c r="BX51" s="1">
        <v>42257.840000000011</v>
      </c>
      <c r="BY51" s="5">
        <v>0.14509999466405785</v>
      </c>
      <c r="BZ51" s="1">
        <v>20802.57</v>
      </c>
      <c r="CA51" s="5">
        <v>0.071429415133350146</v>
      </c>
      <c r="CB51" s="1">
        <v>5704.9200000000001</v>
      </c>
      <c r="CC51" s="1">
        <v>0</v>
      </c>
      <c r="CD51" s="1">
        <v>1218.6500000000001</v>
      </c>
      <c r="CE51" s="1">
        <v>20886.320000000003</v>
      </c>
      <c r="CF51" s="1">
        <v>36.679161209068006</v>
      </c>
      <c r="CG51" s="17">
        <v>2.5074307304785894</v>
      </c>
      <c r="CH51" s="5">
        <v>0.65659019421387466</v>
      </c>
      <c r="CI51" s="5">
        <v>0.071716986020861559</v>
      </c>
      <c r="CJ51" s="18">
        <f t="shared" si="3"/>
        <v>14829.640000000003</v>
      </c>
      <c r="CK51" s="19">
        <f t="shared" si="4"/>
        <v>0.050920271477905607</v>
      </c>
    </row>
    <row r="52">
      <c r="A52" t="s">
        <v>95</v>
      </c>
      <c r="B52" s="16">
        <v>22082397001031</v>
      </c>
      <c r="C52" t="s">
        <v>107</v>
      </c>
      <c r="D52" t="s">
        <v>91</v>
      </c>
      <c r="E52" t="s">
        <v>92</v>
      </c>
      <c r="F52" t="s">
        <v>93</v>
      </c>
      <c r="G52" s="1">
        <v>301321.15999999997</v>
      </c>
      <c r="H52" s="1">
        <v>189992.54999999999</v>
      </c>
      <c r="I52" s="5">
        <f t="shared" si="0"/>
        <v>0.38670313108095439</v>
      </c>
      <c r="J52" s="1">
        <v>16521.849999999999</v>
      </c>
      <c r="K52" s="1">
        <v>3424.5599999999999</v>
      </c>
      <c r="L52" s="1">
        <v>200020.01000000001</v>
      </c>
      <c r="M52" s="1">
        <f t="shared" si="1"/>
        <v>101301.14999999997</v>
      </c>
      <c r="N52" s="5">
        <f t="shared" si="2"/>
        <v>0.33618996422289088</v>
      </c>
      <c r="O52" s="1">
        <v>2233.48</v>
      </c>
      <c r="P52" s="1">
        <v>316.19999999999999</v>
      </c>
      <c r="Q52">
        <v>0</v>
      </c>
      <c r="R52">
        <v>24025.560000000001</v>
      </c>
      <c r="S52">
        <v>10784.299999999999</v>
      </c>
      <c r="T52">
        <v>2669.2399999999998</v>
      </c>
      <c r="U52">
        <v>2663.0700000000002</v>
      </c>
      <c r="V52">
        <v>1662.74</v>
      </c>
      <c r="W52">
        <v>1609.52</v>
      </c>
      <c r="X52">
        <v>0</v>
      </c>
      <c r="Y52">
        <v>0</v>
      </c>
      <c r="Z52">
        <v>1714.22</v>
      </c>
      <c r="AA52">
        <v>385.08999999999997</v>
      </c>
      <c r="AB52">
        <v>0</v>
      </c>
      <c r="AC52">
        <v>1729.99</v>
      </c>
      <c r="AD52">
        <v>1972.49</v>
      </c>
      <c r="AE52">
        <v>9.3699999999999992</v>
      </c>
      <c r="AF52">
        <v>0</v>
      </c>
      <c r="AG52">
        <v>472.13999999999999</v>
      </c>
      <c r="AH52">
        <v>1483.5999999999999</v>
      </c>
      <c r="AI52">
        <v>10636.290000000001</v>
      </c>
      <c r="AJ52">
        <v>2560.3400000000001</v>
      </c>
      <c r="AK52">
        <v>120.02</v>
      </c>
      <c r="AL52">
        <v>421.77999999999997</v>
      </c>
      <c r="AM52">
        <v>3522.48</v>
      </c>
      <c r="AN52">
        <v>318.30000000000001</v>
      </c>
      <c r="AO52">
        <v>1454.1500000000001</v>
      </c>
      <c r="AP52">
        <v>46.229999999999997</v>
      </c>
      <c r="AQ52" s="1">
        <v>2670.0799999999999</v>
      </c>
      <c r="AR52" s="1">
        <v>1324.1800000000001</v>
      </c>
      <c r="AS52" s="1">
        <v>0</v>
      </c>
      <c r="AT52" s="1">
        <v>257.45999999999998</v>
      </c>
      <c r="AU52">
        <v>0</v>
      </c>
      <c r="AV52" s="1">
        <v>81.640000000000001</v>
      </c>
      <c r="AW52" s="1">
        <v>1805.46</v>
      </c>
      <c r="AX52" s="1">
        <v>451.87</v>
      </c>
      <c r="AY52" s="1">
        <v>4308.7700000000004</v>
      </c>
      <c r="AZ52" s="1">
        <v>6.4800000000000004</v>
      </c>
      <c r="BA52" s="1">
        <v>0</v>
      </c>
      <c r="BB52" s="1">
        <v>5395.1700000000001</v>
      </c>
      <c r="BC52" s="1">
        <v>0</v>
      </c>
      <c r="BD52" s="3">
        <v>7865</v>
      </c>
      <c r="BE52">
        <v>12</v>
      </c>
      <c r="BF52" s="1">
        <v>1056682.76</v>
      </c>
      <c r="BG52">
        <v>114</v>
      </c>
      <c r="BH52" s="1">
        <v>0</v>
      </c>
      <c r="BI52" s="1">
        <v>331259.38</v>
      </c>
      <c r="BJ52" s="3">
        <v>19956</v>
      </c>
      <c r="BK52" s="1">
        <v>77533.669999999998</v>
      </c>
      <c r="BL52" s="1">
        <v>61228</v>
      </c>
      <c r="BM52" s="1">
        <v>31822.18</v>
      </c>
      <c r="BN52" s="1">
        <v>67944.520000000004</v>
      </c>
      <c r="BO52" s="1">
        <v>31223.990000000002</v>
      </c>
      <c r="BP52">
        <v>1645</v>
      </c>
      <c r="BQ52">
        <v>833</v>
      </c>
      <c r="BR52">
        <v>2656</v>
      </c>
      <c r="BS52">
        <v>873</v>
      </c>
      <c r="BT52">
        <v>330</v>
      </c>
      <c r="BU52" s="1">
        <v>74255.179999999978</v>
      </c>
      <c r="BV52" s="4">
        <v>0.24643201293928374</v>
      </c>
      <c r="BW52" s="1">
        <v>10162.290000000001</v>
      </c>
      <c r="BX52" s="1">
        <v>43414.429999999993</v>
      </c>
      <c r="BY52" s="5">
        <v>0.14408025642805836</v>
      </c>
      <c r="BZ52" s="1">
        <v>23073.850000000006</v>
      </c>
      <c r="CA52" s="5">
        <v>0.076575604580839951</v>
      </c>
      <c r="CB52" s="1">
        <v>5811.1599999999999</v>
      </c>
      <c r="CC52" s="1">
        <v>0</v>
      </c>
      <c r="CD52" s="1">
        <v>1955.7399999999998</v>
      </c>
      <c r="CE52" s="1">
        <v>6179.5200000000077</v>
      </c>
      <c r="CF52" s="1">
        <v>38.311654164017796</v>
      </c>
      <c r="CG52" s="17">
        <v>2.537317228226319</v>
      </c>
      <c r="CH52" s="5">
        <v>0.66381003577710918</v>
      </c>
      <c r="CI52" s="5">
        <v>0.020508085127509824</v>
      </c>
      <c r="CJ52" s="18">
        <f t="shared" si="3"/>
        <v>-3982.7699999999932</v>
      </c>
      <c r="CK52" s="19">
        <f t="shared" si="4"/>
        <v>-0.013217691050970311</v>
      </c>
    </row>
    <row r="53">
      <c r="A53" t="s">
        <v>96</v>
      </c>
      <c r="B53" s="16">
        <v>22082397001031</v>
      </c>
      <c r="C53" t="s">
        <v>107</v>
      </c>
      <c r="D53" t="s">
        <v>91</v>
      </c>
      <c r="E53" t="s">
        <v>92</v>
      </c>
      <c r="F53" t="s">
        <v>93</v>
      </c>
      <c r="G53" s="1">
        <v>309358.85999999999</v>
      </c>
      <c r="H53" s="1">
        <v>190126.73999999999</v>
      </c>
      <c r="I53" s="5">
        <f t="shared" si="0"/>
        <v>0.38064508766619098</v>
      </c>
      <c r="J53" s="1">
        <v>8646.3999999999996</v>
      </c>
      <c r="K53" s="1">
        <v>3611.3000000000002</v>
      </c>
      <c r="L53" s="1">
        <v>206737.14999999999</v>
      </c>
      <c r="M53" s="1">
        <f t="shared" si="1"/>
        <v>102621.70999999999</v>
      </c>
      <c r="N53" s="5">
        <f t="shared" si="2"/>
        <v>0.33172384330612026</v>
      </c>
      <c r="O53" s="1">
        <v>2256.5500000000002</v>
      </c>
      <c r="P53" s="1">
        <v>93.450000000000003</v>
      </c>
      <c r="Q53">
        <v>0</v>
      </c>
      <c r="R53">
        <v>27941.189999999999</v>
      </c>
      <c r="S53">
        <v>10393.639999999999</v>
      </c>
      <c r="T53">
        <v>3104.27</v>
      </c>
      <c r="U53">
        <v>2998.2199999999998</v>
      </c>
      <c r="V53">
        <v>2817.04</v>
      </c>
      <c r="W53">
        <v>1647.4300000000001</v>
      </c>
      <c r="X53">
        <v>0</v>
      </c>
      <c r="Y53">
        <v>0</v>
      </c>
      <c r="Z53">
        <v>1714.22</v>
      </c>
      <c r="AA53">
        <v>385.08999999999997</v>
      </c>
      <c r="AB53">
        <v>35.310000000000002</v>
      </c>
      <c r="AC53">
        <v>1586.8099999999999</v>
      </c>
      <c r="AD53">
        <v>1940.53</v>
      </c>
      <c r="AE53">
        <v>9.3699999999999992</v>
      </c>
      <c r="AF53">
        <v>0</v>
      </c>
      <c r="AG53">
        <v>291.16000000000003</v>
      </c>
      <c r="AH53">
        <v>2071.8499999999999</v>
      </c>
      <c r="AI53">
        <v>10853.02</v>
      </c>
      <c r="AJ53">
        <v>1507.1500000000001</v>
      </c>
      <c r="AK53">
        <v>120.02</v>
      </c>
      <c r="AL53">
        <v>448.60000000000002</v>
      </c>
      <c r="AM53">
        <v>1351.75</v>
      </c>
      <c r="AN53">
        <v>266.89999999999998</v>
      </c>
      <c r="AO53">
        <v>3865.2600000000002</v>
      </c>
      <c r="AP53">
        <v>1280.5599999999999</v>
      </c>
      <c r="AQ53" s="1">
        <v>2274.8400000000001</v>
      </c>
      <c r="AR53" s="1">
        <v>761.73000000000002</v>
      </c>
      <c r="AS53" s="1">
        <v>182.11000000000001</v>
      </c>
      <c r="AT53" s="1">
        <v>288.11000000000001</v>
      </c>
      <c r="AU53">
        <v>0</v>
      </c>
      <c r="AV53" s="1">
        <v>87.040000000000006</v>
      </c>
      <c r="AW53" s="1">
        <v>6575.6899999999996</v>
      </c>
      <c r="AX53" s="1">
        <v>186.11000000000001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3">
        <v>8365</v>
      </c>
      <c r="BE53">
        <v>11</v>
      </c>
      <c r="BF53" s="1">
        <v>999174.31999999995</v>
      </c>
      <c r="BG53">
        <v>114</v>
      </c>
      <c r="BH53" s="1">
        <v>0</v>
      </c>
      <c r="BI53" s="1">
        <v>331051.78000000003</v>
      </c>
      <c r="BJ53" s="3">
        <v>20684</v>
      </c>
      <c r="BK53" s="1">
        <v>83591.529999999999</v>
      </c>
      <c r="BL53" s="1">
        <v>58441.300000000003</v>
      </c>
      <c r="BM53" s="1">
        <v>33888.089999999997</v>
      </c>
      <c r="BN53" s="1">
        <v>71680.25</v>
      </c>
      <c r="BO53" s="1">
        <v>33007.019999999997</v>
      </c>
      <c r="BP53">
        <v>1652</v>
      </c>
      <c r="BQ53">
        <v>830</v>
      </c>
      <c r="BR53">
        <v>2667</v>
      </c>
      <c r="BS53">
        <v>813</v>
      </c>
      <c r="BT53">
        <v>312</v>
      </c>
      <c r="BU53" s="1">
        <v>79665.959999999977</v>
      </c>
      <c r="BV53" s="4">
        <v>0.25751956805116227</v>
      </c>
      <c r="BW53" s="1">
        <v>186.11000000000001</v>
      </c>
      <c r="BX53" s="1">
        <v>48901.790000000001</v>
      </c>
      <c r="BY53" s="5">
        <v>0.15807463862518759</v>
      </c>
      <c r="BZ53" s="1">
        <v>22729.830000000002</v>
      </c>
      <c r="CA53" s="5">
        <v>0.073473990691587124</v>
      </c>
      <c r="CB53" s="1">
        <v>5671.3299999999999</v>
      </c>
      <c r="CC53" s="1">
        <v>0</v>
      </c>
      <c r="CD53" s="1">
        <v>2363.0099999999998</v>
      </c>
      <c r="CE53" s="1">
        <v>14540.559999999981</v>
      </c>
      <c r="CF53" s="1">
        <v>36.982529587567242</v>
      </c>
      <c r="CG53" s="17">
        <v>2.4726838015540946</v>
      </c>
      <c r="CH53" s="5">
        <v>0.66827615669387974</v>
      </c>
      <c r="CI53" s="5">
        <v>0.047002241991711442</v>
      </c>
      <c r="CJ53" s="18">
        <f t="shared" si="3"/>
        <v>14354.449999999981</v>
      </c>
      <c r="CK53" s="19">
        <f t="shared" si="4"/>
        <v>0.046400642929703001</v>
      </c>
    </row>
    <row r="54">
      <c r="A54" t="s">
        <v>97</v>
      </c>
      <c r="B54" s="16">
        <v>22082397001031</v>
      </c>
      <c r="C54" t="s">
        <v>107</v>
      </c>
      <c r="D54" t="s">
        <v>91</v>
      </c>
      <c r="E54" t="s">
        <v>92</v>
      </c>
      <c r="F54" t="s">
        <v>93</v>
      </c>
      <c r="G54" s="1">
        <v>285157</v>
      </c>
      <c r="H54" s="1">
        <v>175148.98000000001</v>
      </c>
      <c r="I54" s="5">
        <f t="shared" si="0"/>
        <v>0.38050554980841228</v>
      </c>
      <c r="J54" s="1">
        <v>7487.7600000000002</v>
      </c>
      <c r="K54" s="1">
        <v>4868.3400000000001</v>
      </c>
      <c r="L54" s="1">
        <v>192969.60999999999</v>
      </c>
      <c r="M54" s="1">
        <f t="shared" si="1"/>
        <v>92187.390000000014</v>
      </c>
      <c r="N54" s="5">
        <f t="shared" si="2"/>
        <v>0.32328643519184175</v>
      </c>
      <c r="O54" s="1">
        <v>3497.9200000000001</v>
      </c>
      <c r="P54" s="1">
        <v>990</v>
      </c>
      <c r="Q54">
        <v>0</v>
      </c>
      <c r="R54">
        <v>19882.400000000001</v>
      </c>
      <c r="S54">
        <v>11180.84</v>
      </c>
      <c r="T54">
        <v>2208.9299999999998</v>
      </c>
      <c r="U54">
        <v>2495.3499999999999</v>
      </c>
      <c r="V54">
        <v>2710.1700000000001</v>
      </c>
      <c r="W54">
        <v>1849.05</v>
      </c>
      <c r="X54">
        <v>0</v>
      </c>
      <c r="Y54">
        <v>0</v>
      </c>
      <c r="Z54">
        <v>1714.22</v>
      </c>
      <c r="AA54">
        <v>385.08999999999997</v>
      </c>
      <c r="AB54">
        <v>132</v>
      </c>
      <c r="AC54">
        <v>1586.8099999999999</v>
      </c>
      <c r="AD54">
        <v>2114.5900000000001</v>
      </c>
      <c r="AE54">
        <v>9.3699999999999992</v>
      </c>
      <c r="AF54">
        <v>0</v>
      </c>
      <c r="AG54">
        <v>380.05000000000001</v>
      </c>
      <c r="AH54">
        <v>1501.8199999999999</v>
      </c>
      <c r="AI54">
        <v>10891.27</v>
      </c>
      <c r="AJ54">
        <v>1663.8900000000001</v>
      </c>
      <c r="AK54">
        <v>120.02</v>
      </c>
      <c r="AL54">
        <v>448.60000000000002</v>
      </c>
      <c r="AM54">
        <v>805.40999999999997</v>
      </c>
      <c r="AN54">
        <v>571.14999999999998</v>
      </c>
      <c r="AO54">
        <v>5913.6800000000003</v>
      </c>
      <c r="AP54">
        <v>46.229999999999997</v>
      </c>
      <c r="AQ54" s="1">
        <v>1994.99</v>
      </c>
      <c r="AR54" s="1">
        <v>691.54999999999995</v>
      </c>
      <c r="AS54" s="1">
        <v>0</v>
      </c>
      <c r="AT54" s="1">
        <v>289.61000000000001</v>
      </c>
      <c r="AU54">
        <v>0</v>
      </c>
      <c r="AV54" s="1">
        <v>86.390000000000001</v>
      </c>
      <c r="AW54" s="1">
        <v>1543.1099999999999</v>
      </c>
      <c r="AX54" s="1">
        <v>1074.5899999999999</v>
      </c>
      <c r="AY54" s="1">
        <v>260.74000000000001</v>
      </c>
      <c r="AZ54" s="1">
        <v>0</v>
      </c>
      <c r="BA54" s="1">
        <v>787.12</v>
      </c>
      <c r="BB54" s="1">
        <v>0</v>
      </c>
      <c r="BC54" s="1">
        <v>0</v>
      </c>
      <c r="BD54" s="3">
        <v>7425</v>
      </c>
      <c r="BE54">
        <v>15</v>
      </c>
      <c r="BF54" s="1">
        <v>1038103.28</v>
      </c>
      <c r="BG54">
        <v>114</v>
      </c>
      <c r="BH54" s="1">
        <v>0</v>
      </c>
      <c r="BI54" s="1">
        <v>357052.40999999997</v>
      </c>
      <c r="BJ54" s="3">
        <v>17826</v>
      </c>
      <c r="BK54" s="1">
        <v>75222.220000000001</v>
      </c>
      <c r="BL54" s="1">
        <v>57277.580000000002</v>
      </c>
      <c r="BM54" s="1">
        <v>29575.830000000002</v>
      </c>
      <c r="BN54" s="1">
        <v>65601.860000000001</v>
      </c>
      <c r="BO54" s="1">
        <v>30377.23</v>
      </c>
      <c r="BP54">
        <v>1603</v>
      </c>
      <c r="BQ54">
        <v>825</v>
      </c>
      <c r="BR54">
        <v>2630</v>
      </c>
      <c r="BS54">
        <v>937</v>
      </c>
      <c r="BT54">
        <v>328</v>
      </c>
      <c r="BU54" s="1">
        <v>71297.48000000001</v>
      </c>
      <c r="BV54" s="4">
        <v>0.25002886129395391</v>
      </c>
      <c r="BW54" s="1">
        <v>2122.4499999999998</v>
      </c>
      <c r="BX54" s="1">
        <v>40326.739999999998</v>
      </c>
      <c r="BY54" s="5">
        <v>0.14141942859547546</v>
      </c>
      <c r="BZ54" s="1">
        <v>23146.790000000001</v>
      </c>
      <c r="CA54" s="5">
        <v>0.081172091163815019</v>
      </c>
      <c r="CB54" s="1">
        <v>5942.0799999999999</v>
      </c>
      <c r="CC54" s="1">
        <v>0</v>
      </c>
      <c r="CD54" s="1">
        <v>1881.8699999999999</v>
      </c>
      <c r="CE54" s="1">
        <v>5385.7799999999779</v>
      </c>
      <c r="CF54" s="1">
        <v>38.404983164983165</v>
      </c>
      <c r="CG54" s="17">
        <v>2.4008080808080807</v>
      </c>
      <c r="CH54" s="5">
        <v>0.67671356480815825</v>
      </c>
      <c r="CI54" s="5">
        <v>0.01888706922853017</v>
      </c>
      <c r="CJ54" s="18">
        <f t="shared" si="3"/>
        <v>3263.3299999999781</v>
      </c>
      <c r="CK54" s="19">
        <f t="shared" si="4"/>
        <v>0.011443976476116589</v>
      </c>
    </row>
    <row r="55">
      <c r="A55" t="s">
        <v>98</v>
      </c>
      <c r="B55" s="16">
        <v>22082397001031</v>
      </c>
      <c r="C55" t="s">
        <v>107</v>
      </c>
      <c r="D55" t="s">
        <v>91</v>
      </c>
      <c r="E55" t="s">
        <v>92</v>
      </c>
      <c r="F55" t="s">
        <v>93</v>
      </c>
      <c r="G55" s="1">
        <v>273601.06</v>
      </c>
      <c r="H55" s="1">
        <v>169074.69</v>
      </c>
      <c r="I55" s="5">
        <f t="shared" si="0"/>
        <v>0.38193799863669969</v>
      </c>
      <c r="J55" s="1">
        <v>12693.9</v>
      </c>
      <c r="K55" s="1">
        <v>3752.48</v>
      </c>
      <c r="L55" s="1">
        <v>179607.17999999999</v>
      </c>
      <c r="M55" s="1">
        <f t="shared" si="1"/>
        <v>93993.880000000005</v>
      </c>
      <c r="N55" s="5">
        <f t="shared" si="2"/>
        <v>0.34354355206079978</v>
      </c>
      <c r="O55" s="1">
        <v>1884.6300000000001</v>
      </c>
      <c r="P55" s="1">
        <v>399</v>
      </c>
      <c r="Q55">
        <v>0</v>
      </c>
      <c r="R55">
        <v>17825.540000000001</v>
      </c>
      <c r="S55">
        <v>10193.110000000001</v>
      </c>
      <c r="T55">
        <v>1980.4200000000001</v>
      </c>
      <c r="U55">
        <v>3439.9099999999999</v>
      </c>
      <c r="V55">
        <v>3012.1799999999998</v>
      </c>
      <c r="W55">
        <v>1644.1500000000001</v>
      </c>
      <c r="X55">
        <v>0</v>
      </c>
      <c r="Y55">
        <v>0</v>
      </c>
      <c r="Z55">
        <v>1714.22</v>
      </c>
      <c r="AA55">
        <v>385.08999999999997</v>
      </c>
      <c r="AB55">
        <v>46.689999999999998</v>
      </c>
      <c r="AC55">
        <v>1638.8</v>
      </c>
      <c r="AD55">
        <v>2967.0500000000002</v>
      </c>
      <c r="AE55">
        <v>9.3699999999999992</v>
      </c>
      <c r="AF55">
        <v>308.44</v>
      </c>
      <c r="AG55">
        <v>986.46000000000004</v>
      </c>
      <c r="AH55">
        <v>1433.8199999999999</v>
      </c>
      <c r="AI55">
        <v>10891.27</v>
      </c>
      <c r="AJ55">
        <v>2223.1999999999998</v>
      </c>
      <c r="AK55">
        <v>120.02</v>
      </c>
      <c r="AL55">
        <v>453.62</v>
      </c>
      <c r="AM55">
        <v>1957.9300000000001</v>
      </c>
      <c r="AN55">
        <v>439.88</v>
      </c>
      <c r="AO55">
        <v>713.03999999999996</v>
      </c>
      <c r="AP55">
        <v>247.06</v>
      </c>
      <c r="AQ55" s="1">
        <v>2133.04</v>
      </c>
      <c r="AR55" s="1">
        <v>1210.75</v>
      </c>
      <c r="AS55" s="1">
        <v>49.539999999999999</v>
      </c>
      <c r="AT55" s="1">
        <v>236.78999999999999</v>
      </c>
      <c r="AU55">
        <v>0</v>
      </c>
      <c r="AV55" s="1">
        <v>72.939999999999998</v>
      </c>
      <c r="AW55" s="1">
        <v>0</v>
      </c>
      <c r="AX55" s="1">
        <v>610.78999999999996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3">
        <v>7646</v>
      </c>
      <c r="BE55">
        <v>12</v>
      </c>
      <c r="BF55" s="1">
        <v>934739.47999999998</v>
      </c>
      <c r="BG55">
        <v>114</v>
      </c>
      <c r="BH55" s="1">
        <v>0</v>
      </c>
      <c r="BI55" s="1">
        <v>313536.28000000003</v>
      </c>
      <c r="BJ55" s="3">
        <v>17817</v>
      </c>
      <c r="BK55" s="1">
        <v>72777.369999999995</v>
      </c>
      <c r="BL55" s="1">
        <v>56157.349999999999</v>
      </c>
      <c r="BM55" s="1">
        <v>27252.459999999999</v>
      </c>
      <c r="BN55" s="1">
        <v>61657.160000000003</v>
      </c>
      <c r="BO55" s="1">
        <v>31033.040000000001</v>
      </c>
      <c r="BP55">
        <v>1596</v>
      </c>
      <c r="BQ55">
        <v>877</v>
      </c>
      <c r="BR55">
        <v>2694</v>
      </c>
      <c r="BS55">
        <v>972</v>
      </c>
      <c r="BT55">
        <v>314</v>
      </c>
      <c r="BU55" s="1">
        <v>67975.059999999998</v>
      </c>
      <c r="BV55" s="4">
        <v>0.24844589417891874</v>
      </c>
      <c r="BW55" s="1">
        <v>610.78999999999996</v>
      </c>
      <c r="BX55" s="1">
        <v>38095.309999999998</v>
      </c>
      <c r="BY55" s="5">
        <v>0.13923670471159724</v>
      </c>
      <c r="BZ55" s="1">
        <v>20389.810000000005</v>
      </c>
      <c r="CA55" s="5">
        <v>0.074523870631202985</v>
      </c>
      <c r="CB55" s="1">
        <v>6761.2200000000003</v>
      </c>
      <c r="CC55" s="1">
        <v>0</v>
      </c>
      <c r="CD55" s="1">
        <v>2728.7200000000003</v>
      </c>
      <c r="CE55" s="1">
        <v>7075.4199999999973</v>
      </c>
      <c r="CF55" s="1">
        <v>35.78355479989537</v>
      </c>
      <c r="CG55" s="17">
        <v>2.3302380329584098</v>
      </c>
      <c r="CH55" s="5">
        <v>0.65645644793920022</v>
      </c>
      <c r="CI55" s="5">
        <v>0.02586035302641005</v>
      </c>
      <c r="CJ55" s="18">
        <f t="shared" si="3"/>
        <v>6464.6299999999974</v>
      </c>
      <c r="CK55" s="19">
        <f t="shared" si="4"/>
        <v>0.023627942084727294</v>
      </c>
    </row>
    <row r="56">
      <c r="A56" t="s">
        <v>89</v>
      </c>
      <c r="B56" s="16">
        <v>22082397001201</v>
      </c>
      <c r="C56" t="s">
        <v>108</v>
      </c>
      <c r="D56" t="s">
        <v>91</v>
      </c>
      <c r="E56" t="s">
        <v>92</v>
      </c>
      <c r="F56" t="s">
        <v>93</v>
      </c>
      <c r="G56" s="1">
        <v>152819.20999999999</v>
      </c>
      <c r="H56" s="1">
        <v>105521.50999999999</v>
      </c>
      <c r="I56" s="5">
        <f t="shared" si="0"/>
        <v>0.40845868200723451</v>
      </c>
      <c r="J56" s="1">
        <v>8025.2799999999997</v>
      </c>
      <c r="K56" s="1">
        <v>2223.8299999999999</v>
      </c>
      <c r="L56" s="1">
        <v>106298.73</v>
      </c>
      <c r="M56" s="1">
        <f t="shared" si="1"/>
        <v>46520.479999999996</v>
      </c>
      <c r="N56" s="5">
        <f t="shared" si="2"/>
        <v>0.30441513210282922</v>
      </c>
      <c r="O56" s="1">
        <v>1314.97</v>
      </c>
      <c r="P56" s="1">
        <v>0</v>
      </c>
      <c r="Q56">
        <v>0</v>
      </c>
      <c r="R56">
        <v>17847.759999999998</v>
      </c>
      <c r="S56">
        <v>2802.1199999999999</v>
      </c>
      <c r="T56">
        <v>1609.29</v>
      </c>
      <c r="U56">
        <v>2558.6799999999998</v>
      </c>
      <c r="V56">
        <v>568.91999999999996</v>
      </c>
      <c r="W56">
        <v>1140.22</v>
      </c>
      <c r="X56">
        <v>0</v>
      </c>
      <c r="Y56">
        <v>0</v>
      </c>
      <c r="Z56">
        <v>1654.5999999999999</v>
      </c>
      <c r="AA56">
        <v>217</v>
      </c>
      <c r="AB56">
        <v>0</v>
      </c>
      <c r="AC56">
        <v>1586.8099999999999</v>
      </c>
      <c r="AD56">
        <v>2129.5500000000002</v>
      </c>
      <c r="AE56">
        <v>9.3699999999999992</v>
      </c>
      <c r="AF56">
        <v>37.259999999999998</v>
      </c>
      <c r="AG56">
        <v>2038.8699999999999</v>
      </c>
      <c r="AH56">
        <v>1320.3</v>
      </c>
      <c r="AI56">
        <v>10798.49</v>
      </c>
      <c r="AJ56">
        <v>4289.4799999999996</v>
      </c>
      <c r="AK56">
        <v>97.049999999999997</v>
      </c>
      <c r="AL56">
        <v>166.83000000000001</v>
      </c>
      <c r="AM56">
        <v>179.47999999999999</v>
      </c>
      <c r="AN56">
        <v>203.09999999999999</v>
      </c>
      <c r="AO56">
        <v>637.36000000000001</v>
      </c>
      <c r="AP56">
        <v>26.199999999999999</v>
      </c>
      <c r="AQ56" s="1">
        <v>1736.5799999999999</v>
      </c>
      <c r="AR56" s="1">
        <v>682.40999999999997</v>
      </c>
      <c r="AS56" s="1">
        <v>76.920000000000002</v>
      </c>
      <c r="AT56" s="1">
        <v>0</v>
      </c>
      <c r="AU56">
        <v>0</v>
      </c>
      <c r="AV56" s="1">
        <v>17.07</v>
      </c>
      <c r="AW56" s="1">
        <v>1387.75</v>
      </c>
      <c r="AX56" s="1">
        <v>1902.3399999999999</v>
      </c>
      <c r="AY56" s="1">
        <v>0</v>
      </c>
      <c r="AZ56" s="1">
        <v>40.420000000000002</v>
      </c>
      <c r="BA56" s="1">
        <v>0</v>
      </c>
      <c r="BB56" s="1">
        <v>1936.03</v>
      </c>
      <c r="BC56" s="1">
        <v>5027.8900000000003</v>
      </c>
      <c r="BD56" s="3">
        <v>3648</v>
      </c>
      <c r="BE56">
        <v>7</v>
      </c>
      <c r="BF56" s="1">
        <v>740992.75</v>
      </c>
      <c r="BG56">
        <v>186</v>
      </c>
      <c r="BH56" s="1">
        <v>21460.110000000001</v>
      </c>
      <c r="BI56" s="1">
        <v>167295.14999999999</v>
      </c>
      <c r="BJ56" s="3">
        <v>8971</v>
      </c>
      <c r="BK56" s="1">
        <v>44650.620000000003</v>
      </c>
      <c r="BL56" s="1">
        <v>30463.009999999998</v>
      </c>
      <c r="BM56" s="1">
        <v>14154.290000000001</v>
      </c>
      <c r="BN56" s="1">
        <v>30209.959999999999</v>
      </c>
      <c r="BO56" s="1">
        <v>18253.57</v>
      </c>
      <c r="BP56">
        <v>1132</v>
      </c>
      <c r="BQ56">
        <v>632</v>
      </c>
      <c r="BR56">
        <v>2485</v>
      </c>
      <c r="BS56">
        <v>923</v>
      </c>
      <c r="BT56">
        <v>250</v>
      </c>
      <c r="BU56" s="1">
        <v>54337.73000000001</v>
      </c>
      <c r="BV56" s="4">
        <v>0.35556871416885361</v>
      </c>
      <c r="BW56" s="1">
        <v>8906.6800000000003</v>
      </c>
      <c r="BX56" s="1">
        <v>26526.989999999998</v>
      </c>
      <c r="BY56" s="5">
        <v>0.17358413251841834</v>
      </c>
      <c r="BZ56" s="1">
        <v>18816.98</v>
      </c>
      <c r="CA56" s="5">
        <v>0.12313229468991498</v>
      </c>
      <c r="CB56" s="1">
        <v>5597.3299999999999</v>
      </c>
      <c r="CC56" s="1">
        <v>0</v>
      </c>
      <c r="CD56" s="1">
        <v>3396.4300000000003</v>
      </c>
      <c r="CE56" s="1">
        <v>-18053.429999999986</v>
      </c>
      <c r="CF56" s="1">
        <v>41.89123081140351</v>
      </c>
      <c r="CG56" s="17">
        <v>2.4591557017543861</v>
      </c>
      <c r="CH56" s="5">
        <v>0.69558486789717078</v>
      </c>
      <c r="CI56" s="5">
        <v>-0.11813586786634996</v>
      </c>
      <c r="CJ56" s="18">
        <f t="shared" si="3"/>
        <v>-26960.109999999986</v>
      </c>
      <c r="CK56" s="19">
        <f t="shared" si="4"/>
        <v>-0.17641833117708164</v>
      </c>
    </row>
    <row r="57">
      <c r="A57" t="s">
        <v>94</v>
      </c>
      <c r="B57" s="16">
        <v>22082397001201</v>
      </c>
      <c r="C57" t="s">
        <v>108</v>
      </c>
      <c r="D57" t="s">
        <v>91</v>
      </c>
      <c r="E57" t="s">
        <v>92</v>
      </c>
      <c r="F57" t="s">
        <v>93</v>
      </c>
      <c r="G57" s="1">
        <v>158754.82000000001</v>
      </c>
      <c r="H57" s="1">
        <v>108913.17999999999</v>
      </c>
      <c r="I57" s="5">
        <f t="shared" si="0"/>
        <v>0.40689652853534974</v>
      </c>
      <c r="J57" s="1">
        <v>8463.3999999999996</v>
      </c>
      <c r="K57" s="1">
        <v>2227.7600000000002</v>
      </c>
      <c r="L57" s="1">
        <v>112656.37</v>
      </c>
      <c r="M57" s="1">
        <f t="shared" si="1"/>
        <v>46098.450000000012</v>
      </c>
      <c r="N57" s="5">
        <f t="shared" si="2"/>
        <v>0.29037512057901615</v>
      </c>
      <c r="O57" s="1">
        <v>1264.1600000000001</v>
      </c>
      <c r="P57" s="1">
        <v>0</v>
      </c>
      <c r="Q57">
        <v>0</v>
      </c>
      <c r="R57">
        <v>14712.85</v>
      </c>
      <c r="S57">
        <v>4943.1800000000003</v>
      </c>
      <c r="T57">
        <v>1572.26</v>
      </c>
      <c r="U57">
        <v>3408.4899999999998</v>
      </c>
      <c r="V57">
        <v>1552.1900000000001</v>
      </c>
      <c r="W57">
        <v>1596.0799999999999</v>
      </c>
      <c r="X57">
        <v>0</v>
      </c>
      <c r="Y57">
        <v>0</v>
      </c>
      <c r="Z57">
        <v>1714.22</v>
      </c>
      <c r="AA57">
        <v>385.08999999999997</v>
      </c>
      <c r="AB57">
        <v>109.31</v>
      </c>
      <c r="AC57">
        <v>1586.8099999999999</v>
      </c>
      <c r="AD57">
        <v>1902.4200000000001</v>
      </c>
      <c r="AE57">
        <v>9.3699999999999992</v>
      </c>
      <c r="AF57">
        <v>17.460000000000001</v>
      </c>
      <c r="AG57">
        <v>726.29999999999995</v>
      </c>
      <c r="AH57">
        <v>156.75999999999999</v>
      </c>
      <c r="AI57">
        <v>10798.49</v>
      </c>
      <c r="AJ57">
        <v>4783.8400000000001</v>
      </c>
      <c r="AK57">
        <v>97.049999999999997</v>
      </c>
      <c r="AL57">
        <v>245.75999999999999</v>
      </c>
      <c r="AM57">
        <v>518.13999999999999</v>
      </c>
      <c r="AN57">
        <v>524.76999999999998</v>
      </c>
      <c r="AO57">
        <v>618.36000000000001</v>
      </c>
      <c r="AP57">
        <v>2828</v>
      </c>
      <c r="AQ57" s="1">
        <v>2571.54</v>
      </c>
      <c r="AR57" s="1">
        <v>705.10000000000002</v>
      </c>
      <c r="AS57" s="1">
        <v>175.03999999999999</v>
      </c>
      <c r="AT57" s="1">
        <v>93.799999999999997</v>
      </c>
      <c r="AU57">
        <v>0</v>
      </c>
      <c r="AV57" s="1">
        <v>11.470000000000001</v>
      </c>
      <c r="AW57" s="1">
        <v>1387.75</v>
      </c>
      <c r="AX57" s="1">
        <v>1365.6600000000001</v>
      </c>
      <c r="AY57" s="1">
        <v>5137.5500000000002</v>
      </c>
      <c r="AZ57" s="1">
        <v>6.4800000000000004</v>
      </c>
      <c r="BA57" s="1">
        <v>0</v>
      </c>
      <c r="BB57" s="1">
        <v>240.09999999999999</v>
      </c>
      <c r="BC57" s="1">
        <v>5000</v>
      </c>
      <c r="BD57" s="3">
        <v>3745</v>
      </c>
      <c r="BE57">
        <v>9</v>
      </c>
      <c r="BF57" s="1">
        <v>760770.96999999997</v>
      </c>
      <c r="BG57">
        <v>121.23999999999999</v>
      </c>
      <c r="BH57" s="1">
        <v>22348.630000000001</v>
      </c>
      <c r="BI57" s="1">
        <v>206435.87</v>
      </c>
      <c r="BJ57" s="3">
        <v>9399</v>
      </c>
      <c r="BK57" s="1">
        <v>46746.650000000001</v>
      </c>
      <c r="BL57" s="1">
        <v>31029.759999999998</v>
      </c>
      <c r="BM57" s="1">
        <v>15331.379999999999</v>
      </c>
      <c r="BN57" s="1">
        <v>30861.709999999999</v>
      </c>
      <c r="BO57" s="1">
        <v>17175.259999999998</v>
      </c>
      <c r="BP57">
        <v>1131</v>
      </c>
      <c r="BQ57">
        <v>655</v>
      </c>
      <c r="BR57">
        <v>2467</v>
      </c>
      <c r="BS57">
        <v>916</v>
      </c>
      <c r="BT57">
        <v>267</v>
      </c>
      <c r="BU57" s="1">
        <v>58083.840000000011</v>
      </c>
      <c r="BV57" s="4">
        <v>0.36587134803214172</v>
      </c>
      <c r="BW57" s="1">
        <v>11749.790000000001</v>
      </c>
      <c r="BX57" s="1">
        <v>27785.049999999996</v>
      </c>
      <c r="BY57" s="5">
        <v>0.17501862305661015</v>
      </c>
      <c r="BZ57" s="1">
        <v>23691.049999999999</v>
      </c>
      <c r="CA57" s="5">
        <v>0.14923042966506464</v>
      </c>
      <c r="CB57" s="1">
        <v>5707.2200000000003</v>
      </c>
      <c r="CC57" s="1">
        <v>0</v>
      </c>
      <c r="CD57" s="1">
        <v>900.51999999999998</v>
      </c>
      <c r="CE57" s="1">
        <v>-22810.329999999994</v>
      </c>
      <c r="CF57" s="1">
        <v>42.391140186915891</v>
      </c>
      <c r="CG57" s="17">
        <v>2.5097463284379171</v>
      </c>
      <c r="CH57" s="5">
        <v>0.70962487942098385</v>
      </c>
      <c r="CI57" s="5">
        <v>-0.14368275558499574</v>
      </c>
      <c r="CJ57" s="18">
        <f t="shared" si="3"/>
        <v>-34560.119999999995</v>
      </c>
      <c r="CK57" s="19">
        <f t="shared" si="4"/>
        <v>-0.21769493360894487</v>
      </c>
    </row>
    <row r="58">
      <c r="A58" t="s">
        <v>95</v>
      </c>
      <c r="B58" s="16">
        <v>22082397001201</v>
      </c>
      <c r="C58" t="s">
        <v>108</v>
      </c>
      <c r="D58" t="s">
        <v>91</v>
      </c>
      <c r="E58" t="s">
        <v>92</v>
      </c>
      <c r="F58" t="s">
        <v>93</v>
      </c>
      <c r="G58" s="1">
        <v>172394.53</v>
      </c>
      <c r="H58" s="1">
        <v>128355.39</v>
      </c>
      <c r="I58" s="5">
        <f t="shared" si="0"/>
        <v>0.42678445267749365</v>
      </c>
      <c r="J58" s="1">
        <v>16521.889999999999</v>
      </c>
      <c r="K58" s="1">
        <v>1534</v>
      </c>
      <c r="L58" s="1">
        <v>122334.75999999999</v>
      </c>
      <c r="M58" s="1">
        <f t="shared" si="1"/>
        <v>50059.770000000004</v>
      </c>
      <c r="N58" s="5">
        <f t="shared" si="2"/>
        <v>0.29037910889632057</v>
      </c>
      <c r="O58" s="1">
        <v>1540.6500000000001</v>
      </c>
      <c r="P58" s="1">
        <v>398.99000000000001</v>
      </c>
      <c r="Q58">
        <v>0</v>
      </c>
      <c r="R58">
        <v>20056.380000000001</v>
      </c>
      <c r="S58">
        <v>6217.96</v>
      </c>
      <c r="T58">
        <v>2228.2600000000002</v>
      </c>
      <c r="U58">
        <v>3916.5900000000001</v>
      </c>
      <c r="V58">
        <v>1863.55</v>
      </c>
      <c r="W58">
        <v>1723.4100000000001</v>
      </c>
      <c r="X58">
        <v>0</v>
      </c>
      <c r="Y58">
        <v>0</v>
      </c>
      <c r="Z58">
        <v>1714.22</v>
      </c>
      <c r="AA58">
        <v>385.08999999999997</v>
      </c>
      <c r="AB58">
        <v>0</v>
      </c>
      <c r="AC58">
        <v>1729.99</v>
      </c>
      <c r="AD58">
        <v>1981.1900000000001</v>
      </c>
      <c r="AE58">
        <v>9.3699999999999992</v>
      </c>
      <c r="AF58">
        <v>0</v>
      </c>
      <c r="AG58">
        <v>462.57999999999998</v>
      </c>
      <c r="AH58">
        <v>563.63999999999999</v>
      </c>
      <c r="AI58">
        <v>10798.49</v>
      </c>
      <c r="AJ58">
        <v>2966.8499999999999</v>
      </c>
      <c r="AK58">
        <v>101.55</v>
      </c>
      <c r="AL58">
        <v>240.19999999999999</v>
      </c>
      <c r="AM58">
        <v>3533.8800000000001</v>
      </c>
      <c r="AN58">
        <v>318.30000000000001</v>
      </c>
      <c r="AO58">
        <v>564.36000000000001</v>
      </c>
      <c r="AP58">
        <v>0</v>
      </c>
      <c r="AQ58" s="1">
        <v>3480.3899999999999</v>
      </c>
      <c r="AR58" s="1">
        <v>919.32000000000005</v>
      </c>
      <c r="AS58" s="1">
        <v>0</v>
      </c>
      <c r="AT58" s="1">
        <v>257.37</v>
      </c>
      <c r="AU58">
        <v>0</v>
      </c>
      <c r="AV58" s="1">
        <v>15.56</v>
      </c>
      <c r="AW58" s="1">
        <v>1364.0899999999999</v>
      </c>
      <c r="AX58" s="1">
        <v>2105.27</v>
      </c>
      <c r="AY58" s="1">
        <v>361.75999999999999</v>
      </c>
      <c r="AZ58" s="1">
        <v>6.4800000000000004</v>
      </c>
      <c r="BA58" s="1">
        <v>0</v>
      </c>
      <c r="BB58" s="1">
        <v>5395.25</v>
      </c>
      <c r="BC58" s="1">
        <v>0</v>
      </c>
      <c r="BD58" s="3">
        <v>3938</v>
      </c>
      <c r="BE58">
        <v>9</v>
      </c>
      <c r="BF58" s="1">
        <v>754140.55000000005</v>
      </c>
      <c r="BG58">
        <v>121.23999999999999</v>
      </c>
      <c r="BH58" s="1">
        <v>30659.549999999999</v>
      </c>
      <c r="BI58" s="1">
        <v>223541.81</v>
      </c>
      <c r="BJ58" s="3">
        <v>9357</v>
      </c>
      <c r="BK58" s="1">
        <v>51597.690000000002</v>
      </c>
      <c r="BL58" s="1">
        <v>36724.879999999997</v>
      </c>
      <c r="BM58" s="1">
        <v>15357</v>
      </c>
      <c r="BN58" s="1">
        <v>28327.040000000001</v>
      </c>
      <c r="BO58" s="1">
        <v>20050.779999999999</v>
      </c>
      <c r="BP58">
        <v>1208</v>
      </c>
      <c r="BQ58">
        <v>697</v>
      </c>
      <c r="BR58">
        <v>2435</v>
      </c>
      <c r="BS58">
        <v>902</v>
      </c>
      <c r="BT58">
        <v>263</v>
      </c>
      <c r="BU58" s="1">
        <v>65775.570000000007</v>
      </c>
      <c r="BV58" s="4">
        <v>0.38154093404239686</v>
      </c>
      <c r="BW58" s="1">
        <v>7868.7600000000002</v>
      </c>
      <c r="BX58" s="1">
        <v>36006.150000000001</v>
      </c>
      <c r="BY58" s="5">
        <v>0.20885900498119053</v>
      </c>
      <c r="BZ58" s="1">
        <v>22923.34</v>
      </c>
      <c r="CA58" s="5">
        <v>0.13297022823171942</v>
      </c>
      <c r="CB58" s="1">
        <v>5819.8599999999997</v>
      </c>
      <c r="CC58" s="1">
        <v>0</v>
      </c>
      <c r="CD58" s="1">
        <v>1026.22</v>
      </c>
      <c r="CE58" s="1">
        <v>-34589.049999999996</v>
      </c>
      <c r="CF58" s="1">
        <v>43.777178770949718</v>
      </c>
      <c r="CG58" s="17">
        <v>2.3760792280345351</v>
      </c>
      <c r="CH58" s="5">
        <v>0.70962089110367943</v>
      </c>
      <c r="CI58" s="5">
        <v>-0.20063890658247682</v>
      </c>
      <c r="CJ58" s="18">
        <f t="shared" si="3"/>
        <v>-42457.809999999998</v>
      </c>
      <c r="CK58" s="19">
        <f t="shared" si="4"/>
        <v>-0.2462828141936986</v>
      </c>
    </row>
    <row r="59">
      <c r="A59" t="s">
        <v>96</v>
      </c>
      <c r="B59" s="16">
        <v>22082397001201</v>
      </c>
      <c r="C59" t="s">
        <v>108</v>
      </c>
      <c r="D59" t="s">
        <v>91</v>
      </c>
      <c r="E59" t="s">
        <v>92</v>
      </c>
      <c r="F59" t="s">
        <v>93</v>
      </c>
      <c r="G59" s="1">
        <v>184787.60000000001</v>
      </c>
      <c r="H59" s="1">
        <v>131407.35000000001</v>
      </c>
      <c r="I59" s="5">
        <f t="shared" si="0"/>
        <v>0.41558965442047702</v>
      </c>
      <c r="J59" s="1">
        <v>7521.4399999999996</v>
      </c>
      <c r="K59" s="1">
        <v>1805.0699999999999</v>
      </c>
      <c r="L59" s="1">
        <v>131100.81</v>
      </c>
      <c r="M59" s="1">
        <f t="shared" si="1"/>
        <v>53686.790000000008</v>
      </c>
      <c r="N59" s="5">
        <f t="shared" si="2"/>
        <v>0.29053242750054659</v>
      </c>
      <c r="O59" s="1">
        <v>1508.72</v>
      </c>
      <c r="P59" s="1">
        <v>188.13999999999999</v>
      </c>
      <c r="Q59">
        <v>0</v>
      </c>
      <c r="R59">
        <v>22086.73</v>
      </c>
      <c r="S59">
        <v>6335.6099999999997</v>
      </c>
      <c r="T59">
        <v>2453.8400000000001</v>
      </c>
      <c r="U59">
        <v>3974.2199999999998</v>
      </c>
      <c r="V59">
        <v>1882.1199999999999</v>
      </c>
      <c r="W59">
        <v>1706.8099999999999</v>
      </c>
      <c r="X59">
        <v>0</v>
      </c>
      <c r="Y59">
        <v>0</v>
      </c>
      <c r="Z59">
        <v>1714.22</v>
      </c>
      <c r="AA59">
        <v>385.08999999999997</v>
      </c>
      <c r="AB59">
        <v>35.310000000000002</v>
      </c>
      <c r="AC59">
        <v>1586.8099999999999</v>
      </c>
      <c r="AD59">
        <v>1949.1900000000001</v>
      </c>
      <c r="AE59">
        <v>9.3699999999999992</v>
      </c>
      <c r="AF59">
        <v>0</v>
      </c>
      <c r="AG59">
        <v>426.10000000000002</v>
      </c>
      <c r="AH59">
        <v>1251.8499999999999</v>
      </c>
      <c r="AI59">
        <v>10798.49</v>
      </c>
      <c r="AJ59">
        <v>2361.1999999999998</v>
      </c>
      <c r="AK59">
        <v>101.55</v>
      </c>
      <c r="AL59">
        <v>267.01999999999998</v>
      </c>
      <c r="AM59">
        <v>1448.97</v>
      </c>
      <c r="AN59">
        <v>266.89999999999998</v>
      </c>
      <c r="AO59">
        <v>849.52999999999997</v>
      </c>
      <c r="AP59">
        <v>347.88</v>
      </c>
      <c r="AQ59" s="1">
        <v>2324.4200000000001</v>
      </c>
      <c r="AR59" s="1">
        <v>469.54000000000002</v>
      </c>
      <c r="AS59" s="1">
        <v>182.09999999999999</v>
      </c>
      <c r="AT59" s="1">
        <v>288.08999999999997</v>
      </c>
      <c r="AU59">
        <v>0</v>
      </c>
      <c r="AV59" s="1">
        <v>11.44</v>
      </c>
      <c r="AW59" s="1">
        <v>4410.8599999999997</v>
      </c>
      <c r="AX59" s="1">
        <v>1672.23</v>
      </c>
      <c r="AY59" s="1">
        <v>10726.110000000001</v>
      </c>
      <c r="AZ59" s="1">
        <v>0</v>
      </c>
      <c r="BA59" s="1">
        <v>0</v>
      </c>
      <c r="BB59" s="1">
        <v>0</v>
      </c>
      <c r="BC59" s="1">
        <v>0</v>
      </c>
      <c r="BD59" s="3">
        <v>4052</v>
      </c>
      <c r="BE59">
        <v>8</v>
      </c>
      <c r="BF59" s="1">
        <v>710362.42000000004</v>
      </c>
      <c r="BG59">
        <v>121.23999999999999</v>
      </c>
      <c r="BH59" s="1">
        <v>41337.379999999997</v>
      </c>
      <c r="BI59" s="1">
        <v>255028.79999999999</v>
      </c>
      <c r="BJ59" s="3">
        <v>9398</v>
      </c>
      <c r="BK59" s="1">
        <v>59588.650000000001</v>
      </c>
      <c r="BL59" s="1">
        <v>39849.160000000003</v>
      </c>
      <c r="BM59" s="1">
        <v>15777.450000000001</v>
      </c>
      <c r="BN59" s="1">
        <v>32101.419999999998</v>
      </c>
      <c r="BO59" s="1">
        <v>18274.77</v>
      </c>
      <c r="BP59">
        <v>1236</v>
      </c>
      <c r="BQ59">
        <v>700</v>
      </c>
      <c r="BR59">
        <v>2406</v>
      </c>
      <c r="BS59">
        <v>851</v>
      </c>
      <c r="BT59">
        <v>242</v>
      </c>
      <c r="BU59" s="1">
        <v>65032.76999999999</v>
      </c>
      <c r="BV59" s="4">
        <v>0.35193254309271826</v>
      </c>
      <c r="BW59" s="1">
        <v>12398.34</v>
      </c>
      <c r="BX59" s="1">
        <v>38439.330000000002</v>
      </c>
      <c r="BY59" s="5">
        <v>0.20801899045174027</v>
      </c>
      <c r="BZ59" s="1">
        <v>19235.5</v>
      </c>
      <c r="CA59" s="5">
        <v>0.10409518820526918</v>
      </c>
      <c r="CB59" s="1">
        <v>5679.9899999999998</v>
      </c>
      <c r="CC59" s="1">
        <v>0</v>
      </c>
      <c r="CD59" s="1">
        <v>1677.9499999999998</v>
      </c>
      <c r="CE59" s="1">
        <v>-18417.240000000005</v>
      </c>
      <c r="CF59" s="1">
        <v>45.604047384007899</v>
      </c>
      <c r="CG59" s="17">
        <v>2.3193484698914117</v>
      </c>
      <c r="CH59" s="5">
        <v>0.70946757249945336</v>
      </c>
      <c r="CI59" s="5">
        <v>-0.099667077228125719</v>
      </c>
      <c r="CJ59" s="18">
        <f t="shared" si="3"/>
        <v>-30815.580000000005</v>
      </c>
      <c r="CK59" s="19">
        <f t="shared" si="4"/>
        <v>-0.16676216369496658</v>
      </c>
    </row>
    <row r="60">
      <c r="A60" t="s">
        <v>97</v>
      </c>
      <c r="B60" s="16">
        <v>22082397001201</v>
      </c>
      <c r="C60" t="s">
        <v>108</v>
      </c>
      <c r="D60" t="s">
        <v>91</v>
      </c>
      <c r="E60" t="s">
        <v>92</v>
      </c>
      <c r="F60" t="s">
        <v>93</v>
      </c>
      <c r="G60" s="1">
        <v>168145.85999999999</v>
      </c>
      <c r="H60" s="1">
        <v>115064.09</v>
      </c>
      <c r="I60" s="5">
        <f t="shared" si="0"/>
        <v>0.40628547831741085</v>
      </c>
      <c r="J60" s="1">
        <v>7488.8599999999997</v>
      </c>
      <c r="K60" s="1">
        <v>1579.8499999999999</v>
      </c>
      <c r="L60" s="1">
        <v>117511.99000000001</v>
      </c>
      <c r="M60" s="1">
        <f t="shared" si="1"/>
        <v>50633.869999999981</v>
      </c>
      <c r="N60" s="5">
        <f t="shared" si="2"/>
        <v>0.30113063741206586</v>
      </c>
      <c r="O60" s="1">
        <v>3094.9299999999998</v>
      </c>
      <c r="P60" s="1">
        <v>990</v>
      </c>
      <c r="Q60">
        <v>0</v>
      </c>
      <c r="R60">
        <v>20221.720000000001</v>
      </c>
      <c r="S60">
        <v>6296.21</v>
      </c>
      <c r="T60">
        <v>2246.6300000000001</v>
      </c>
      <c r="U60">
        <v>3619.2800000000002</v>
      </c>
      <c r="V60">
        <v>2756.6100000000001</v>
      </c>
      <c r="W60">
        <v>1681.8399999999999</v>
      </c>
      <c r="X60">
        <v>0</v>
      </c>
      <c r="Y60">
        <v>0</v>
      </c>
      <c r="Z60">
        <v>1714.22</v>
      </c>
      <c r="AA60">
        <v>385.08999999999997</v>
      </c>
      <c r="AB60">
        <v>0</v>
      </c>
      <c r="AC60">
        <v>1586.8099999999999</v>
      </c>
      <c r="AD60">
        <v>2123.2600000000002</v>
      </c>
      <c r="AE60">
        <v>9.4100000000000001</v>
      </c>
      <c r="AF60">
        <v>0</v>
      </c>
      <c r="AG60">
        <v>380.05000000000001</v>
      </c>
      <c r="AH60">
        <v>1064.6199999999999</v>
      </c>
      <c r="AI60">
        <v>12405.620000000001</v>
      </c>
      <c r="AJ60">
        <v>0</v>
      </c>
      <c r="AK60">
        <v>0</v>
      </c>
      <c r="AL60">
        <v>267.01999999999998</v>
      </c>
      <c r="AM60">
        <v>690.78999999999996</v>
      </c>
      <c r="AN60">
        <v>571.14999999999998</v>
      </c>
      <c r="AO60">
        <v>3307.96</v>
      </c>
      <c r="AP60">
        <v>3152.4099999999999</v>
      </c>
      <c r="AQ60" s="1">
        <v>3014.1500000000001</v>
      </c>
      <c r="AR60" s="1">
        <v>1002.75</v>
      </c>
      <c r="AS60" s="1">
        <v>0</v>
      </c>
      <c r="AT60" s="1">
        <v>289.63</v>
      </c>
      <c r="AU60">
        <v>0</v>
      </c>
      <c r="AV60" s="1">
        <v>13.74</v>
      </c>
      <c r="AW60" s="1">
        <v>1109.76</v>
      </c>
      <c r="AX60" s="1">
        <v>505.39999999999998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3">
        <v>3567</v>
      </c>
      <c r="BE60">
        <v>10</v>
      </c>
      <c r="BF60" s="1">
        <v>747830.90000000002</v>
      </c>
      <c r="BG60">
        <v>121.23999999999999</v>
      </c>
      <c r="BH60" s="1">
        <v>33390.290000000001</v>
      </c>
      <c r="BI60" s="1">
        <v>241977.10999999999</v>
      </c>
      <c r="BJ60" s="3">
        <v>8737</v>
      </c>
      <c r="BK60" s="1">
        <v>54135.139999999999</v>
      </c>
      <c r="BL60" s="1">
        <v>37455.550000000003</v>
      </c>
      <c r="BM60" s="1">
        <v>15066.65</v>
      </c>
      <c r="BN60" s="1">
        <v>26789.869999999999</v>
      </c>
      <c r="BO60" s="1">
        <v>17387.02</v>
      </c>
      <c r="BP60">
        <v>1144</v>
      </c>
      <c r="BQ60">
        <v>683</v>
      </c>
      <c r="BR60">
        <v>2237</v>
      </c>
      <c r="BS60">
        <v>864</v>
      </c>
      <c r="BT60">
        <v>252</v>
      </c>
      <c r="BU60" s="1">
        <v>68497.599999999991</v>
      </c>
      <c r="BV60" s="4">
        <v>0.40737012496174452</v>
      </c>
      <c r="BW60" s="1">
        <v>505.39999999999998</v>
      </c>
      <c r="BX60" s="1">
        <v>36822.289999999994</v>
      </c>
      <c r="BY60" s="5">
        <v>0.21899016722742978</v>
      </c>
      <c r="BZ60" s="1">
        <v>24411.850000000002</v>
      </c>
      <c r="CA60" s="5">
        <v>0.14518258136120629</v>
      </c>
      <c r="CB60" s="1">
        <v>5818.79</v>
      </c>
      <c r="CC60" s="1">
        <v>0</v>
      </c>
      <c r="CD60" s="1">
        <v>1444.6699999999998</v>
      </c>
      <c r="CE60" s="1">
        <v>-30183.500000000018</v>
      </c>
      <c r="CF60" s="1">
        <v>47.13929352396972</v>
      </c>
      <c r="CG60" s="17">
        <v>2.4493972525932155</v>
      </c>
      <c r="CH60" s="5">
        <v>0.6988693625879342</v>
      </c>
      <c r="CI60" s="5">
        <v>-0.17950783920579444</v>
      </c>
      <c r="CJ60" s="18">
        <f t="shared" si="3"/>
        <v>-30688.90000000002</v>
      </c>
      <c r="CK60" s="19">
        <f t="shared" si="4"/>
        <v>-0.18251356292685422</v>
      </c>
    </row>
    <row r="61">
      <c r="A61" t="s">
        <v>98</v>
      </c>
      <c r="B61" s="16">
        <v>22082397001201</v>
      </c>
      <c r="C61" t="s">
        <v>108</v>
      </c>
      <c r="D61" t="s">
        <v>91</v>
      </c>
      <c r="E61" t="s">
        <v>92</v>
      </c>
      <c r="F61" t="s">
        <v>93</v>
      </c>
      <c r="G61" s="1">
        <v>170729.01999999999</v>
      </c>
      <c r="H61" s="1">
        <v>131616.29999999999</v>
      </c>
      <c r="I61" s="5">
        <f t="shared" si="0"/>
        <v>0.4353178015125222</v>
      </c>
      <c r="J61" s="1">
        <v>12693.92</v>
      </c>
      <c r="K61" s="1">
        <v>2289.2199999999998</v>
      </c>
      <c r="L61" s="1">
        <v>122847.55</v>
      </c>
      <c r="M61" s="1">
        <f t="shared" si="1"/>
        <v>47881.469999999987</v>
      </c>
      <c r="N61" s="5">
        <f t="shared" si="2"/>
        <v>0.28045302433060293</v>
      </c>
      <c r="O61" s="1">
        <v>1535.6800000000001</v>
      </c>
      <c r="P61" s="1">
        <v>399</v>
      </c>
      <c r="Q61">
        <v>0</v>
      </c>
      <c r="R61">
        <v>32662.02</v>
      </c>
      <c r="S61">
        <v>6608.4399999999996</v>
      </c>
      <c r="T61">
        <v>3628.75</v>
      </c>
      <c r="U61">
        <v>3398.9699999999998</v>
      </c>
      <c r="V61">
        <v>2252.8000000000002</v>
      </c>
      <c r="W61">
        <v>1622.0999999999999</v>
      </c>
      <c r="X61">
        <v>0</v>
      </c>
      <c r="Y61">
        <v>0</v>
      </c>
      <c r="Z61">
        <v>1714.22</v>
      </c>
      <c r="AA61">
        <v>385.08999999999997</v>
      </c>
      <c r="AB61">
        <v>46.689999999999998</v>
      </c>
      <c r="AC61">
        <v>1638.8</v>
      </c>
      <c r="AD61">
        <v>2975.7199999999998</v>
      </c>
      <c r="AE61">
        <v>9.3699999999999992</v>
      </c>
      <c r="AF61">
        <v>0</v>
      </c>
      <c r="AG61">
        <v>202.71000000000001</v>
      </c>
      <c r="AH61">
        <v>2713.8200000000002</v>
      </c>
      <c r="AI61">
        <v>13000</v>
      </c>
      <c r="AJ61">
        <v>4596.6499999999996</v>
      </c>
      <c r="AK61">
        <v>203.09999999999999</v>
      </c>
      <c r="AL61">
        <v>275.33999999999997</v>
      </c>
      <c r="AM61">
        <v>1895.53</v>
      </c>
      <c r="AN61">
        <v>439.88</v>
      </c>
      <c r="AO61">
        <v>677.30999999999995</v>
      </c>
      <c r="AP61">
        <v>0</v>
      </c>
      <c r="AQ61" s="1">
        <v>2615.9400000000001</v>
      </c>
      <c r="AR61" s="1">
        <v>1122.74</v>
      </c>
      <c r="AS61" s="1">
        <v>30.219999999999999</v>
      </c>
      <c r="AT61" s="1">
        <v>236.80000000000001</v>
      </c>
      <c r="AU61">
        <v>0</v>
      </c>
      <c r="AV61" s="1">
        <v>21.82</v>
      </c>
      <c r="AW61" s="1">
        <v>0</v>
      </c>
      <c r="AX61" s="1">
        <v>1103.22</v>
      </c>
      <c r="AY61" s="1">
        <v>522.60000000000002</v>
      </c>
      <c r="AZ61" s="1">
        <v>743.70000000000005</v>
      </c>
      <c r="BA61" s="1">
        <v>0</v>
      </c>
      <c r="BB61" s="1">
        <v>0</v>
      </c>
      <c r="BC61" s="1">
        <v>0</v>
      </c>
      <c r="BD61" s="3">
        <v>3572</v>
      </c>
      <c r="BE61">
        <v>9</v>
      </c>
      <c r="BF61" s="1">
        <v>694421.81999999995</v>
      </c>
      <c r="BG61">
        <v>121.23999999999999</v>
      </c>
      <c r="BH61" s="1">
        <v>34923.669999999998</v>
      </c>
      <c r="BI61" s="1">
        <v>212346.91</v>
      </c>
      <c r="BJ61" s="3">
        <v>8642</v>
      </c>
      <c r="BK61" s="1">
        <v>58643.110000000001</v>
      </c>
      <c r="BL61" s="1">
        <v>36747.220000000001</v>
      </c>
      <c r="BM61" s="1">
        <v>12625.139999999999</v>
      </c>
      <c r="BN61" s="1">
        <v>28134.509999999998</v>
      </c>
      <c r="BO61" s="1">
        <v>14584.18</v>
      </c>
      <c r="BP61">
        <v>1152</v>
      </c>
      <c r="BQ61">
        <v>752</v>
      </c>
      <c r="BR61">
        <v>2230</v>
      </c>
      <c r="BS61">
        <v>884</v>
      </c>
      <c r="BT61">
        <v>249</v>
      </c>
      <c r="BU61" s="1">
        <v>84685.990000000005</v>
      </c>
      <c r="BV61" s="4">
        <v>0.49602574887385875</v>
      </c>
      <c r="BW61" s="1">
        <v>2369.5200000000004</v>
      </c>
      <c r="BX61" s="1">
        <v>50173.080000000002</v>
      </c>
      <c r="BY61" s="5">
        <v>0.29387552274358514</v>
      </c>
      <c r="BZ61" s="1">
        <v>24826.490000000002</v>
      </c>
      <c r="CA61" s="5">
        <v>0.14541458739703422</v>
      </c>
      <c r="CB61" s="1">
        <v>6769.8900000000003</v>
      </c>
      <c r="CC61" s="1">
        <v>0</v>
      </c>
      <c r="CD61" s="1">
        <v>2916.5300000000002</v>
      </c>
      <c r="CE61" s="1">
        <v>-53967.540000000008</v>
      </c>
      <c r="CF61" s="1">
        <v>47.796478163493838</v>
      </c>
      <c r="CG61" s="17">
        <v>2.4193729003359463</v>
      </c>
      <c r="CH61" s="5">
        <v>0.71954697566939707</v>
      </c>
      <c r="CI61" s="5">
        <v>-0.31610056685149374</v>
      </c>
      <c r="CJ61" s="18">
        <f t="shared" si="3"/>
        <v>-56337.060000000012</v>
      </c>
      <c r="CK61" s="19">
        <f t="shared" si="4"/>
        <v>-0.32997940244722318</v>
      </c>
    </row>
    <row r="62">
      <c r="A62" t="s">
        <v>89</v>
      </c>
      <c r="B62" s="16">
        <v>29285269000143</v>
      </c>
      <c r="C62" t="s">
        <v>109</v>
      </c>
      <c r="D62" t="s">
        <v>91</v>
      </c>
      <c r="E62" t="s">
        <v>92</v>
      </c>
      <c r="F62" t="s">
        <v>93</v>
      </c>
      <c r="G62" s="1">
        <v>574875.03000000003</v>
      </c>
      <c r="H62" s="1">
        <v>348833.51000000001</v>
      </c>
      <c r="I62" s="5">
        <f t="shared" si="0"/>
        <v>0.37764456524349121</v>
      </c>
      <c r="J62" s="1">
        <v>8165.8199999999997</v>
      </c>
      <c r="K62" s="1">
        <v>6243.21</v>
      </c>
      <c r="L62" s="1">
        <v>396308.78000000003</v>
      </c>
      <c r="M62" s="1">
        <f t="shared" si="1"/>
        <v>178566.25</v>
      </c>
      <c r="N62" s="5">
        <f t="shared" si="2"/>
        <v>0.3106175093393776</v>
      </c>
      <c r="O62" s="1">
        <v>5312.7299999999996</v>
      </c>
      <c r="P62" s="1">
        <v>981.72000000000003</v>
      </c>
      <c r="Q62">
        <v>0</v>
      </c>
      <c r="R62">
        <v>54450.129999999997</v>
      </c>
      <c r="S62">
        <v>13024.889999999999</v>
      </c>
      <c r="T62">
        <v>3520.71</v>
      </c>
      <c r="U62">
        <v>7955.2200000000003</v>
      </c>
      <c r="V62">
        <v>8093.6199999999999</v>
      </c>
      <c r="W62">
        <v>2747.2600000000002</v>
      </c>
      <c r="X62">
        <v>0</v>
      </c>
      <c r="Y62">
        <v>0</v>
      </c>
      <c r="Z62">
        <v>1739.5599999999999</v>
      </c>
      <c r="AA62">
        <v>217</v>
      </c>
      <c r="AB62">
        <v>0</v>
      </c>
      <c r="AC62">
        <v>1803.71</v>
      </c>
      <c r="AD62">
        <v>2557.1700000000001</v>
      </c>
      <c r="AE62">
        <v>9.3699999999999992</v>
      </c>
      <c r="AF62">
        <v>93.25</v>
      </c>
      <c r="AG62">
        <v>2533.6199999999999</v>
      </c>
      <c r="AH62">
        <v>1320.3399999999999</v>
      </c>
      <c r="AI62">
        <v>34891.82</v>
      </c>
      <c r="AJ62">
        <v>5208.0600000000004</v>
      </c>
      <c r="AK62">
        <v>0</v>
      </c>
      <c r="AL62">
        <v>360.08999999999997</v>
      </c>
      <c r="AM62">
        <v>2158.1300000000001</v>
      </c>
      <c r="AN62">
        <v>203.09999999999999</v>
      </c>
      <c r="AO62">
        <v>4758.8299999999999</v>
      </c>
      <c r="AP62">
        <v>880.64999999999998</v>
      </c>
      <c r="AQ62" s="1">
        <v>5349.3500000000004</v>
      </c>
      <c r="AR62" s="1">
        <v>18107.02</v>
      </c>
      <c r="AS62" s="1">
        <v>44.960000000000001</v>
      </c>
      <c r="AT62" s="1">
        <v>801.59000000000003</v>
      </c>
      <c r="AU62">
        <v>0</v>
      </c>
      <c r="AV62" s="1">
        <v>130.84</v>
      </c>
      <c r="AW62" s="1">
        <v>5263.8800000000001</v>
      </c>
      <c r="AX62" s="1">
        <v>1538.9200000000001</v>
      </c>
      <c r="AY62" s="1">
        <v>0</v>
      </c>
      <c r="AZ62" s="1">
        <v>84417.199999999997</v>
      </c>
      <c r="BA62" s="1">
        <v>112973.45</v>
      </c>
      <c r="BB62" s="1">
        <v>0</v>
      </c>
      <c r="BC62" s="1">
        <v>4191.1000000000004</v>
      </c>
      <c r="BD62" s="3">
        <v>9984</v>
      </c>
      <c r="BE62">
        <v>21</v>
      </c>
      <c r="BF62" s="1">
        <v>2121299</v>
      </c>
      <c r="BG62">
        <v>168</v>
      </c>
      <c r="BH62" s="1">
        <v>0</v>
      </c>
      <c r="BI62" s="1">
        <v>1226418.0900000001</v>
      </c>
      <c r="BJ62" s="3">
        <v>26377</v>
      </c>
      <c r="BK62" s="1">
        <v>214426.57000000001</v>
      </c>
      <c r="BL62" s="1">
        <v>110005.81</v>
      </c>
      <c r="BM62" s="1">
        <v>42492.870000000003</v>
      </c>
      <c r="BN62" s="1">
        <v>113984.89999999999</v>
      </c>
      <c r="BO62" s="1">
        <v>62772.099999999999</v>
      </c>
      <c r="BP62">
        <v>2485</v>
      </c>
      <c r="BQ62">
        <v>917</v>
      </c>
      <c r="BR62">
        <v>4563</v>
      </c>
      <c r="BS62">
        <v>1442</v>
      </c>
      <c r="BT62">
        <v>333</v>
      </c>
      <c r="BU62" s="1">
        <v>171982.89999999997</v>
      </c>
      <c r="BV62" s="4">
        <v>0.29916571606876013</v>
      </c>
      <c r="BW62" s="1">
        <v>203120.67000000001</v>
      </c>
      <c r="BX62" s="1">
        <v>89791.829999999987</v>
      </c>
      <c r="BY62" s="5">
        <v>0.15619365134018776</v>
      </c>
      <c r="BZ62" s="1">
        <v>71917.049999999988</v>
      </c>
      <c r="CA62" s="5">
        <v>0.12510031962946797</v>
      </c>
      <c r="CB62" s="1">
        <v>6326.8100000000004</v>
      </c>
      <c r="CC62" s="1">
        <v>0</v>
      </c>
      <c r="CD62" s="1">
        <v>3947.21</v>
      </c>
      <c r="CE62" s="1">
        <v>-9571.9599999999045</v>
      </c>
      <c r="CF62" s="1">
        <v>57.579630408653848</v>
      </c>
      <c r="CG62" s="17">
        <v>2.6419270833333335</v>
      </c>
      <c r="CH62" s="5">
        <v>0.6893824906606224</v>
      </c>
      <c r="CI62" s="5">
        <v>-0.016650505762965395</v>
      </c>
      <c r="CJ62" s="18">
        <f t="shared" si="3"/>
        <v>-212692.62999999992</v>
      </c>
      <c r="CK62" s="19">
        <f t="shared" si="4"/>
        <v>-0.36998063735695724</v>
      </c>
    </row>
    <row r="63">
      <c r="A63" t="s">
        <v>94</v>
      </c>
      <c r="B63" s="16">
        <v>29285269000143</v>
      </c>
      <c r="C63" t="s">
        <v>109</v>
      </c>
      <c r="D63" t="s">
        <v>91</v>
      </c>
      <c r="E63" t="s">
        <v>92</v>
      </c>
      <c r="F63" t="s">
        <v>93</v>
      </c>
      <c r="G63" s="1">
        <v>754239.67000000004</v>
      </c>
      <c r="H63" s="1">
        <v>434002.51000000001</v>
      </c>
      <c r="I63" s="5">
        <f t="shared" si="0"/>
        <v>0.36524752050124998</v>
      </c>
      <c r="J63" s="1">
        <v>8258.9200000000001</v>
      </c>
      <c r="K63" s="1">
        <v>8643.0200000000004</v>
      </c>
      <c r="L63" s="1">
        <v>527907.72999999998</v>
      </c>
      <c r="M63" s="1">
        <f t="shared" si="1"/>
        <v>226331.94000000006</v>
      </c>
      <c r="N63" s="5">
        <f t="shared" si="2"/>
        <v>0.3000796020182816</v>
      </c>
      <c r="O63" s="1">
        <v>6228.1899999999996</v>
      </c>
      <c r="P63" s="1">
        <v>134.74000000000001</v>
      </c>
      <c r="Q63">
        <v>0</v>
      </c>
      <c r="R63">
        <v>50274.349999999999</v>
      </c>
      <c r="S63">
        <v>16265.84</v>
      </c>
      <c r="T63">
        <v>5052.5</v>
      </c>
      <c r="U63">
        <v>8958.8999999999996</v>
      </c>
      <c r="V63">
        <v>4059.48</v>
      </c>
      <c r="W63">
        <v>2945.4299999999998</v>
      </c>
      <c r="X63">
        <v>0</v>
      </c>
      <c r="Y63">
        <v>0</v>
      </c>
      <c r="Z63">
        <v>1714.26</v>
      </c>
      <c r="AA63">
        <v>385.08999999999997</v>
      </c>
      <c r="AB63">
        <v>59.280000000000001</v>
      </c>
      <c r="AC63">
        <v>1897.04</v>
      </c>
      <c r="AD63">
        <v>2525</v>
      </c>
      <c r="AE63">
        <v>9.3699999999999992</v>
      </c>
      <c r="AF63">
        <v>17.460000000000001</v>
      </c>
      <c r="AG63">
        <v>596.40999999999997</v>
      </c>
      <c r="AH63">
        <v>363.57999999999998</v>
      </c>
      <c r="AI63">
        <v>34891.82</v>
      </c>
      <c r="AJ63">
        <v>4148.8699999999999</v>
      </c>
      <c r="AK63">
        <v>0</v>
      </c>
      <c r="AL63">
        <v>451.37</v>
      </c>
      <c r="AM63">
        <v>3820.98</v>
      </c>
      <c r="AN63">
        <v>1145.28</v>
      </c>
      <c r="AO63">
        <v>4582.75</v>
      </c>
      <c r="AP63">
        <v>212.68000000000001</v>
      </c>
      <c r="AQ63" s="1">
        <v>4609.4799999999996</v>
      </c>
      <c r="AR63" s="1">
        <v>21875.130000000001</v>
      </c>
      <c r="AS63" s="1">
        <v>0</v>
      </c>
      <c r="AT63" s="1">
        <v>632.32000000000005</v>
      </c>
      <c r="AU63">
        <v>0</v>
      </c>
      <c r="AV63" s="1">
        <v>116.29000000000001</v>
      </c>
      <c r="AW63" s="1">
        <v>5263.8800000000001</v>
      </c>
      <c r="AX63" s="1">
        <v>1231.6300000000001</v>
      </c>
      <c r="AY63" s="1">
        <v>12541.799999999999</v>
      </c>
      <c r="AZ63" s="1">
        <v>35638.139999999999</v>
      </c>
      <c r="BA63" s="1">
        <v>48144.459999999999</v>
      </c>
      <c r="BB63" s="1">
        <v>0</v>
      </c>
      <c r="BC63" s="1">
        <v>1027.95</v>
      </c>
      <c r="BD63" s="3">
        <v>12967</v>
      </c>
      <c r="BE63">
        <v>27</v>
      </c>
      <c r="BF63" s="1">
        <v>2255934.3799999999</v>
      </c>
      <c r="BG63">
        <v>168</v>
      </c>
      <c r="BH63" s="1">
        <v>0</v>
      </c>
      <c r="BI63" s="1">
        <v>1474632.4099999999</v>
      </c>
      <c r="BJ63" s="3">
        <v>35515</v>
      </c>
      <c r="BK63" s="1">
        <v>252378.92999999999</v>
      </c>
      <c r="BL63" s="1">
        <v>126431.07000000001</v>
      </c>
      <c r="BM63" s="1">
        <v>54776.879999999997</v>
      </c>
      <c r="BN63" s="1">
        <v>179896.48000000001</v>
      </c>
      <c r="BO63" s="1">
        <v>89486.289999999994</v>
      </c>
      <c r="BP63">
        <v>2524</v>
      </c>
      <c r="BQ63">
        <v>949</v>
      </c>
      <c r="BR63">
        <v>4748</v>
      </c>
      <c r="BS63">
        <v>1522</v>
      </c>
      <c r="BT63">
        <v>353</v>
      </c>
      <c r="BU63" s="1">
        <v>170862.34999999998</v>
      </c>
      <c r="BV63" s="4">
        <v>0.22653588348117512</v>
      </c>
      <c r="BW63" s="1">
        <v>98583.979999999996</v>
      </c>
      <c r="BX63" s="1">
        <v>87556.499999999985</v>
      </c>
      <c r="BY63" s="5">
        <v>0.1160857794711328</v>
      </c>
      <c r="BZ63" s="1">
        <v>75738.360000000015</v>
      </c>
      <c r="CA63" s="5">
        <v>0.10041683434656787</v>
      </c>
      <c r="CB63" s="1">
        <v>6590.04</v>
      </c>
      <c r="CC63" s="1">
        <v>0</v>
      </c>
      <c r="CD63" s="1">
        <v>977.45000000000005</v>
      </c>
      <c r="CE63" s="1">
        <v>36952.570000000051</v>
      </c>
      <c r="CF63" s="1">
        <v>58.166088532428475</v>
      </c>
      <c r="CG63" s="17">
        <v>2.7388756073108662</v>
      </c>
      <c r="CH63" s="5">
        <v>0.69992039798171835</v>
      </c>
      <c r="CI63" s="5">
        <v>0.048993140336943623</v>
      </c>
      <c r="CJ63" s="18">
        <f t="shared" si="3"/>
        <v>-61631.409999999945</v>
      </c>
      <c r="CK63" s="19">
        <f t="shared" si="4"/>
        <v>-0.081713296782705613</v>
      </c>
    </row>
    <row r="64">
      <c r="A64" t="s">
        <v>95</v>
      </c>
      <c r="B64" s="16">
        <v>29285269000143</v>
      </c>
      <c r="C64" t="s">
        <v>109</v>
      </c>
      <c r="D64" t="s">
        <v>91</v>
      </c>
      <c r="E64" t="s">
        <v>92</v>
      </c>
      <c r="F64" t="s">
        <v>93</v>
      </c>
      <c r="G64" s="1">
        <v>804625.02000000002</v>
      </c>
      <c r="H64" s="1">
        <v>447255.35999999999</v>
      </c>
      <c r="I64" s="5">
        <f t="shared" si="0"/>
        <v>0.3572668500484048</v>
      </c>
      <c r="J64" s="1">
        <v>9566.1800000000003</v>
      </c>
      <c r="K64" s="1">
        <v>887.25</v>
      </c>
      <c r="L64" s="1">
        <v>566774.75</v>
      </c>
      <c r="M64" s="1">
        <f t="shared" si="1"/>
        <v>237850.27000000002</v>
      </c>
      <c r="N64" s="5">
        <f t="shared" si="2"/>
        <v>0.29560387023510654</v>
      </c>
      <c r="O64" s="1">
        <v>6982.21</v>
      </c>
      <c r="P64" s="1">
        <v>1689.96</v>
      </c>
      <c r="Q64">
        <v>0</v>
      </c>
      <c r="R64">
        <v>43875.129999999997</v>
      </c>
      <c r="S64">
        <v>17233.73</v>
      </c>
      <c r="T64">
        <v>4874.5299999999997</v>
      </c>
      <c r="U64">
        <v>10510.77</v>
      </c>
      <c r="V64">
        <v>4921.5500000000002</v>
      </c>
      <c r="W64">
        <v>3875.7399999999998</v>
      </c>
      <c r="X64">
        <v>0</v>
      </c>
      <c r="Y64">
        <v>0</v>
      </c>
      <c r="Z64">
        <v>1714.22</v>
      </c>
      <c r="AA64">
        <v>385.10000000000002</v>
      </c>
      <c r="AB64">
        <v>0</v>
      </c>
      <c r="AC64">
        <v>1946.8900000000001</v>
      </c>
      <c r="AD64">
        <v>2739.4499999999998</v>
      </c>
      <c r="AE64">
        <v>9.3699999999999992</v>
      </c>
      <c r="AF64">
        <v>0</v>
      </c>
      <c r="AG64">
        <v>677.35000000000002</v>
      </c>
      <c r="AH64">
        <v>7523.6400000000003</v>
      </c>
      <c r="AI64">
        <v>40323.669999999998</v>
      </c>
      <c r="AJ64">
        <v>2885.3899999999999</v>
      </c>
      <c r="AK64">
        <v>0</v>
      </c>
      <c r="AL64">
        <v>431.11000000000001</v>
      </c>
      <c r="AM64">
        <v>1001.45</v>
      </c>
      <c r="AN64">
        <v>318.33999999999997</v>
      </c>
      <c r="AO64">
        <v>7691.29</v>
      </c>
      <c r="AP64">
        <v>61.649999999999999</v>
      </c>
      <c r="AQ64" s="1">
        <v>5196.5100000000002</v>
      </c>
      <c r="AR64" s="1">
        <v>25506.849999999999</v>
      </c>
      <c r="AS64" s="1">
        <v>0</v>
      </c>
      <c r="AT64" s="1">
        <v>803.07000000000005</v>
      </c>
      <c r="AU64">
        <v>0</v>
      </c>
      <c r="AV64" s="1">
        <v>127.27</v>
      </c>
      <c r="AW64" s="1">
        <v>7658.46</v>
      </c>
      <c r="AX64" s="1">
        <v>957.00999999999999</v>
      </c>
      <c r="AY64" s="1">
        <v>0</v>
      </c>
      <c r="AZ64" s="1">
        <v>42690.809999999998</v>
      </c>
      <c r="BA64" s="1">
        <v>11772.42</v>
      </c>
      <c r="BB64" s="1">
        <v>0</v>
      </c>
      <c r="BC64" s="1">
        <v>9973.8999999999996</v>
      </c>
      <c r="BD64" s="3">
        <v>13122</v>
      </c>
      <c r="BE64">
        <v>24</v>
      </c>
      <c r="BF64" s="1">
        <v>2394478.29</v>
      </c>
      <c r="BG64">
        <v>168</v>
      </c>
      <c r="BH64" s="1">
        <v>0</v>
      </c>
      <c r="BI64" s="1">
        <v>1451645.96</v>
      </c>
      <c r="BJ64" s="3">
        <v>36815</v>
      </c>
      <c r="BK64" s="1">
        <v>277889.25</v>
      </c>
      <c r="BL64" s="1">
        <v>131622.62</v>
      </c>
      <c r="BM64" s="1">
        <v>56255.019999999997</v>
      </c>
      <c r="BN64" s="1">
        <v>185840.81</v>
      </c>
      <c r="BO64" s="1">
        <v>102864.87</v>
      </c>
      <c r="BP64">
        <v>2515</v>
      </c>
      <c r="BQ64">
        <v>952</v>
      </c>
      <c r="BR64">
        <v>4703</v>
      </c>
      <c r="BS64">
        <v>1468</v>
      </c>
      <c r="BT64">
        <v>355</v>
      </c>
      <c r="BU64" s="1">
        <v>183703.73000000004</v>
      </c>
      <c r="BV64" s="4">
        <v>0.22830974110151339</v>
      </c>
      <c r="BW64" s="1">
        <v>65394.139999999999</v>
      </c>
      <c r="BX64" s="1">
        <v>85291.450000000012</v>
      </c>
      <c r="BY64" s="5">
        <v>0.10600148874316637</v>
      </c>
      <c r="BZ64" s="1">
        <v>83416.259999999995</v>
      </c>
      <c r="CA64" s="5">
        <v>0.10367097458639801</v>
      </c>
      <c r="CB64" s="1">
        <v>6795.0299999999997</v>
      </c>
      <c r="CC64" s="1">
        <v>0</v>
      </c>
      <c r="CD64" s="1">
        <v>8200.9899999999998</v>
      </c>
      <c r="CE64" s="1">
        <v>42003.600000000013</v>
      </c>
      <c r="CF64" s="1">
        <v>61.318779149519891</v>
      </c>
      <c r="CG64" s="17">
        <v>2.8055936595031246</v>
      </c>
      <c r="CH64" s="5">
        <v>0.70439612976489341</v>
      </c>
      <c r="CI64" s="5">
        <v>0.05220270182500665</v>
      </c>
      <c r="CJ64" s="18">
        <f t="shared" si="3"/>
        <v>-23390.539999999986</v>
      </c>
      <c r="CK64" s="19">
        <f t="shared" si="4"/>
        <v>-0.029070112684291109</v>
      </c>
    </row>
    <row r="65">
      <c r="A65" t="s">
        <v>96</v>
      </c>
      <c r="B65" s="16">
        <v>29285269000143</v>
      </c>
      <c r="C65" t="s">
        <v>109</v>
      </c>
      <c r="D65" t="s">
        <v>91</v>
      </c>
      <c r="E65" t="s">
        <v>92</v>
      </c>
      <c r="F65" t="s">
        <v>93</v>
      </c>
      <c r="G65" s="1">
        <v>810867.06000000006</v>
      </c>
      <c r="H65" s="1">
        <v>435522.45000000001</v>
      </c>
      <c r="I65" s="5">
        <f t="shared" si="0"/>
        <v>0.34942724285283822</v>
      </c>
      <c r="J65" s="1">
        <v>5426.29</v>
      </c>
      <c r="K65" s="1">
        <v>3729.3600000000001</v>
      </c>
      <c r="L65" s="1">
        <v>576235.29000000004</v>
      </c>
      <c r="M65" s="1">
        <f t="shared" si="1"/>
        <v>234631.77000000002</v>
      </c>
      <c r="N65" s="5">
        <f t="shared" si="2"/>
        <v>0.28935910900117218</v>
      </c>
      <c r="O65" s="1">
        <v>8006.6400000000003</v>
      </c>
      <c r="P65" s="1">
        <v>1528.1800000000001</v>
      </c>
      <c r="Q65">
        <v>0</v>
      </c>
      <c r="R65">
        <v>46865.300000000003</v>
      </c>
      <c r="S65">
        <v>20366.779999999999</v>
      </c>
      <c r="T65">
        <v>5206.7299999999996</v>
      </c>
      <c r="U65">
        <v>9652.8799999999992</v>
      </c>
      <c r="V65">
        <v>4561.7399999999998</v>
      </c>
      <c r="W65">
        <v>3881.2600000000002</v>
      </c>
      <c r="X65">
        <v>0</v>
      </c>
      <c r="Y65">
        <v>0</v>
      </c>
      <c r="Z65">
        <v>1714.22</v>
      </c>
      <c r="AA65">
        <v>385.08999999999997</v>
      </c>
      <c r="AB65">
        <v>35.310000000000002</v>
      </c>
      <c r="AC65">
        <v>2003.71</v>
      </c>
      <c r="AD65">
        <v>2869.0999999999999</v>
      </c>
      <c r="AE65">
        <v>9.3699999999999992</v>
      </c>
      <c r="AF65">
        <v>130.21000000000001</v>
      </c>
      <c r="AG65">
        <v>975.11000000000001</v>
      </c>
      <c r="AH65">
        <v>8391.8500000000004</v>
      </c>
      <c r="AI65">
        <v>35249.029999999999</v>
      </c>
      <c r="AJ65">
        <v>1965.02</v>
      </c>
      <c r="AK65">
        <v>0</v>
      </c>
      <c r="AL65">
        <v>457.93000000000001</v>
      </c>
      <c r="AM65">
        <v>1812.73</v>
      </c>
      <c r="AN65">
        <v>266.97000000000003</v>
      </c>
      <c r="AO65">
        <v>2624.77</v>
      </c>
      <c r="AP65">
        <v>842.61000000000001</v>
      </c>
      <c r="AQ65" s="1">
        <v>4764.5500000000002</v>
      </c>
      <c r="AR65" s="1">
        <v>18110.290000000001</v>
      </c>
      <c r="AS65" s="1">
        <v>0</v>
      </c>
      <c r="AT65" s="1">
        <v>1081.52</v>
      </c>
      <c r="AU65">
        <v>0</v>
      </c>
      <c r="AV65" s="1">
        <v>110.23999999999999</v>
      </c>
      <c r="AW65" s="1">
        <v>7679.2299999999996</v>
      </c>
      <c r="AX65" s="1">
        <v>742.60000000000002</v>
      </c>
      <c r="AY65" s="1">
        <v>0</v>
      </c>
      <c r="AZ65" s="1">
        <v>39120.489999999998</v>
      </c>
      <c r="BA65" s="1">
        <v>0</v>
      </c>
      <c r="BB65" s="1">
        <v>0</v>
      </c>
      <c r="BC65" s="1">
        <v>3519.0799999999999</v>
      </c>
      <c r="BD65" s="3">
        <v>12725</v>
      </c>
      <c r="BE65">
        <v>25</v>
      </c>
      <c r="BF65" s="1">
        <v>2235774.5499999998</v>
      </c>
      <c r="BG65">
        <v>168</v>
      </c>
      <c r="BH65" s="1">
        <v>0</v>
      </c>
      <c r="BI65" s="1">
        <v>1403676.97</v>
      </c>
      <c r="BJ65" s="3">
        <v>34847</v>
      </c>
      <c r="BK65" s="1">
        <v>276779.27000000002</v>
      </c>
      <c r="BL65" s="1">
        <v>128543.83</v>
      </c>
      <c r="BM65" s="1">
        <v>54248.57</v>
      </c>
      <c r="BN65" s="1">
        <v>173218.87</v>
      </c>
      <c r="BO65" s="1">
        <v>98875.690000000002</v>
      </c>
      <c r="BP65">
        <v>2561</v>
      </c>
      <c r="BQ65">
        <v>951</v>
      </c>
      <c r="BR65">
        <v>4803</v>
      </c>
      <c r="BS65">
        <v>1531</v>
      </c>
      <c r="BT65">
        <v>346</v>
      </c>
      <c r="BU65" s="1">
        <v>173142.55999999997</v>
      </c>
      <c r="BV65" s="4">
        <v>0.21352767739757483</v>
      </c>
      <c r="BW65" s="1">
        <v>43382.169999999998</v>
      </c>
      <c r="BX65" s="1">
        <v>90534.690000000002</v>
      </c>
      <c r="BY65" s="5">
        <v>0.11165170527459828</v>
      </c>
      <c r="BZ65" s="1">
        <v>66093.899999999994</v>
      </c>
      <c r="CA65" s="5">
        <v>0.081510155314485203</v>
      </c>
      <c r="CB65" s="1">
        <v>7016.8000000000002</v>
      </c>
      <c r="CC65" s="1">
        <v>0</v>
      </c>
      <c r="CD65" s="1">
        <v>9497.1700000000001</v>
      </c>
      <c r="CE65" s="1">
        <v>49506.689999999973</v>
      </c>
      <c r="CF65" s="1">
        <v>63.722362278978395</v>
      </c>
      <c r="CG65" s="17">
        <v>2.7384675834970529</v>
      </c>
      <c r="CH65" s="5">
        <v>0.71064089099882788</v>
      </c>
      <c r="CI65" s="5">
        <v>0.061054015438732914</v>
      </c>
      <c r="CJ65" s="18">
        <f t="shared" si="3"/>
        <v>6124.519999999975</v>
      </c>
      <c r="CK65" s="19">
        <f t="shared" si="4"/>
        <v>0.0075530506813286684</v>
      </c>
    </row>
    <row r="66">
      <c r="A66" t="s">
        <v>97</v>
      </c>
      <c r="B66" s="16">
        <v>29285269000143</v>
      </c>
      <c r="C66" t="s">
        <v>109</v>
      </c>
      <c r="D66" t="s">
        <v>91</v>
      </c>
      <c r="E66" t="s">
        <v>92</v>
      </c>
      <c r="F66" t="s">
        <v>93</v>
      </c>
      <c r="G66" s="1">
        <v>720273.87</v>
      </c>
      <c r="H66" s="1">
        <v>409624.26000000001</v>
      </c>
      <c r="I66" s="5">
        <f t="shared" ref="I66" si="5">H66/(G66+H66)</f>
        <v>0.36253202755543995</v>
      </c>
      <c r="J66" s="1">
        <v>8782.3799999999992</v>
      </c>
      <c r="K66" s="1">
        <v>14474.799999999999</v>
      </c>
      <c r="L66" s="1">
        <v>508513.21999999997</v>
      </c>
      <c r="M66" s="1">
        <f t="shared" ref="M66" si="6">G66-L66</f>
        <v>211760.65000000002</v>
      </c>
      <c r="N66" s="5">
        <f t="shared" ref="N66" si="7">M66/G66</f>
        <v>0.29400018356906382</v>
      </c>
      <c r="O66" s="1">
        <v>15895.32</v>
      </c>
      <c r="P66" s="1">
        <v>1190.0599999999999</v>
      </c>
      <c r="Q66">
        <v>0</v>
      </c>
      <c r="R66">
        <v>46293.279999999999</v>
      </c>
      <c r="S66">
        <v>21354.93</v>
      </c>
      <c r="T66">
        <v>5143.1800000000003</v>
      </c>
      <c r="U66">
        <v>9416.9500000000007</v>
      </c>
      <c r="V66">
        <v>4825.79</v>
      </c>
      <c r="W66">
        <v>3730.1599999999999</v>
      </c>
      <c r="X66">
        <v>0</v>
      </c>
      <c r="Y66">
        <v>0</v>
      </c>
      <c r="Z66">
        <v>1624</v>
      </c>
      <c r="AA66">
        <v>385.08999999999997</v>
      </c>
      <c r="AB66">
        <v>132</v>
      </c>
      <c r="AC66">
        <v>2003.71</v>
      </c>
      <c r="AD66">
        <v>2566.4499999999998</v>
      </c>
      <c r="AE66">
        <v>9.3699999999999992</v>
      </c>
      <c r="AF66">
        <v>130.21000000000001</v>
      </c>
      <c r="AG66">
        <v>423.16000000000003</v>
      </c>
      <c r="AH66">
        <v>7821.8199999999997</v>
      </c>
      <c r="AI66">
        <v>41366.669999999998</v>
      </c>
      <c r="AJ66">
        <v>2849.1100000000001</v>
      </c>
      <c r="AK66">
        <v>0</v>
      </c>
      <c r="AL66">
        <v>317.14999999999998</v>
      </c>
      <c r="AM66">
        <v>0</v>
      </c>
      <c r="AN66">
        <v>171.18000000000001</v>
      </c>
      <c r="AO66">
        <v>3494.8299999999999</v>
      </c>
      <c r="AP66">
        <v>2481.71</v>
      </c>
      <c r="AQ66" s="1">
        <v>2046.98</v>
      </c>
      <c r="AR66" s="1">
        <v>18697.810000000001</v>
      </c>
      <c r="AS66" s="1">
        <v>133.47999999999999</v>
      </c>
      <c r="AT66" s="1">
        <v>1111.9400000000001</v>
      </c>
      <c r="AU66">
        <v>0</v>
      </c>
      <c r="AV66" s="1">
        <v>119.44</v>
      </c>
      <c r="AW66" s="1">
        <v>4982.9499999999998</v>
      </c>
      <c r="AX66" s="1">
        <v>1060.53</v>
      </c>
      <c r="AY66" s="1">
        <v>0</v>
      </c>
      <c r="AZ66" s="1">
        <v>38080.919999999998</v>
      </c>
      <c r="BA66" s="1">
        <v>100</v>
      </c>
      <c r="BB66" s="1">
        <v>0</v>
      </c>
      <c r="BC66" s="1">
        <v>3663.4499999999998</v>
      </c>
      <c r="BD66" s="3">
        <v>11486</v>
      </c>
      <c r="BE66">
        <v>23</v>
      </c>
      <c r="BF66" s="1">
        <v>2331905.8799999999</v>
      </c>
      <c r="BG66">
        <v>168</v>
      </c>
      <c r="BH66" s="1">
        <v>0</v>
      </c>
      <c r="BI66" s="1">
        <v>1374149.4399999999</v>
      </c>
      <c r="BJ66" s="3">
        <v>32283</v>
      </c>
      <c r="BK66" s="1">
        <v>249459.70999999999</v>
      </c>
      <c r="BL66" s="1">
        <v>115482.45</v>
      </c>
      <c r="BM66" s="1">
        <v>48243.75</v>
      </c>
      <c r="BN66" s="1">
        <v>160837.70999999999</v>
      </c>
      <c r="BO66" s="1">
        <v>94129.339999999997</v>
      </c>
      <c r="BP66">
        <v>2542</v>
      </c>
      <c r="BQ66">
        <v>919</v>
      </c>
      <c r="BR66">
        <v>4583</v>
      </c>
      <c r="BS66">
        <v>1504</v>
      </c>
      <c r="BT66">
        <v>348</v>
      </c>
      <c r="BU66" s="1">
        <v>177285.53999999992</v>
      </c>
      <c r="BV66" s="4">
        <v>0.24613629257437858</v>
      </c>
      <c r="BW66" s="1">
        <v>42904.899999999994</v>
      </c>
      <c r="BX66" s="1">
        <v>90764.289999999979</v>
      </c>
      <c r="BY66" s="5">
        <v>0.12601358147283612</v>
      </c>
      <c r="BZ66" s="1">
        <v>71425.440000000002</v>
      </c>
      <c r="CA66" s="5">
        <v>0.099164280386847853</v>
      </c>
      <c r="CB66" s="1">
        <v>6720.6199999999999</v>
      </c>
      <c r="CC66" s="1">
        <v>0</v>
      </c>
      <c r="CD66" s="1">
        <v>8375.1900000000005</v>
      </c>
      <c r="CE66" s="1">
        <v>-2010.4800000000105</v>
      </c>
      <c r="CF66" s="1">
        <v>62.708851645481452</v>
      </c>
      <c r="CG66" s="17">
        <v>2.8106390388298799</v>
      </c>
      <c r="CH66" s="5">
        <v>0.70599981643093612</v>
      </c>
      <c r="CI66" s="5">
        <v>-0.0027912716033972056</v>
      </c>
      <c r="CJ66" s="18">
        <f t="shared" ref="CJ66" si="8">CE66-BW66</f>
        <v>-44915.380000000005</v>
      </c>
      <c r="CK66" s="19">
        <f t="shared" ref="CK66" si="9">CJ66/G66</f>
        <v>-0.062358752511735581</v>
      </c>
    </row>
    <row r="67">
      <c r="A67" t="s">
        <v>98</v>
      </c>
      <c r="B67" s="16">
        <v>29285269000143</v>
      </c>
      <c r="C67" t="s">
        <v>109</v>
      </c>
      <c r="D67" t="s">
        <v>91</v>
      </c>
      <c r="E67" t="s">
        <v>92</v>
      </c>
      <c r="F67" t="s">
        <v>93</v>
      </c>
      <c r="G67" s="1">
        <v>755203.46999999997</v>
      </c>
      <c r="H67" s="1">
        <v>439322.25</v>
      </c>
      <c r="I67" s="5">
        <f>H67/(G67+H67)</f>
        <v>0.36777964898068499</v>
      </c>
      <c r="J67" s="1">
        <v>9276.3899999999994</v>
      </c>
      <c r="K67" s="1">
        <v>7347.0900000000001</v>
      </c>
      <c r="L67" s="1">
        <v>537470.40000000002</v>
      </c>
      <c r="M67" s="1">
        <f>G67-L67</f>
        <v>217733.06999999995</v>
      </c>
      <c r="N67" s="5">
        <f>M67/G67</f>
        <v>0.28831047346750138</v>
      </c>
      <c r="O67" s="1">
        <v>7653.8800000000001</v>
      </c>
      <c r="P67" s="1">
        <v>643.51999999999998</v>
      </c>
      <c r="Q67">
        <v>0</v>
      </c>
      <c r="R67">
        <v>44027.029999999999</v>
      </c>
      <c r="S67">
        <v>21139.740000000002</v>
      </c>
      <c r="T67">
        <v>4891.3999999999996</v>
      </c>
      <c r="U67">
        <v>10033.77</v>
      </c>
      <c r="V67">
        <v>5106.6099999999997</v>
      </c>
      <c r="W67">
        <v>3972.1399999999999</v>
      </c>
      <c r="X67">
        <v>0</v>
      </c>
      <c r="Y67">
        <v>0</v>
      </c>
      <c r="Z67">
        <v>1714.22</v>
      </c>
      <c r="AA67">
        <v>385.10000000000002</v>
      </c>
      <c r="AB67">
        <v>46.689999999999998</v>
      </c>
      <c r="AC67">
        <v>1916.01</v>
      </c>
      <c r="AD67">
        <v>3632.8899999999999</v>
      </c>
      <c r="AE67">
        <v>9.3699999999999992</v>
      </c>
      <c r="AF67">
        <v>130.21000000000001</v>
      </c>
      <c r="AG67">
        <v>1518.97</v>
      </c>
      <c r="AH67">
        <v>7701.8199999999997</v>
      </c>
      <c r="AI67">
        <v>42911.669999999998</v>
      </c>
      <c r="AJ67">
        <v>2863.5599999999999</v>
      </c>
      <c r="AK67">
        <v>0</v>
      </c>
      <c r="AL67">
        <v>603.75</v>
      </c>
      <c r="AM67">
        <v>1575.51</v>
      </c>
      <c r="AN67">
        <v>649.11000000000001</v>
      </c>
      <c r="AO67">
        <v>2216.5900000000001</v>
      </c>
      <c r="AP67">
        <v>61.649999999999999</v>
      </c>
      <c r="AQ67" s="1">
        <v>5656.0900000000001</v>
      </c>
      <c r="AR67" s="1">
        <v>98397.729999999996</v>
      </c>
      <c r="AS67" s="1">
        <v>96.989999999999995</v>
      </c>
      <c r="AT67" s="1">
        <v>1145.74</v>
      </c>
      <c r="AU67">
        <v>0</v>
      </c>
      <c r="AV67" s="1">
        <v>113.56999999999999</v>
      </c>
      <c r="AW67" s="1">
        <v>0</v>
      </c>
      <c r="AX67" s="1">
        <v>3307.6100000000001</v>
      </c>
      <c r="AY67" s="1">
        <v>0</v>
      </c>
      <c r="AZ67" s="1">
        <v>470.86000000000001</v>
      </c>
      <c r="BA67" s="1">
        <v>0</v>
      </c>
      <c r="BB67" s="1">
        <v>0</v>
      </c>
      <c r="BC67" s="1">
        <v>3566.8800000000001</v>
      </c>
      <c r="BD67" s="3">
        <v>11827</v>
      </c>
      <c r="BE67">
        <v>23</v>
      </c>
      <c r="BF67" s="1">
        <v>2155545.0299999998</v>
      </c>
      <c r="BG67">
        <v>168</v>
      </c>
      <c r="BH67" s="1">
        <v>0</v>
      </c>
      <c r="BI67" s="1">
        <v>1381955.8100000001</v>
      </c>
      <c r="BJ67" s="3">
        <v>32312</v>
      </c>
      <c r="BK67" s="1">
        <v>270501</v>
      </c>
      <c r="BL67" s="1">
        <v>127075.72</v>
      </c>
      <c r="BM67" s="1">
        <v>45488.760000000002</v>
      </c>
      <c r="BN67" s="1">
        <v>159615.92999999999</v>
      </c>
      <c r="BO67" s="1">
        <v>97078.160000000003</v>
      </c>
      <c r="BP67">
        <v>2511</v>
      </c>
      <c r="BQ67">
        <v>967</v>
      </c>
      <c r="BR67">
        <v>4786</v>
      </c>
      <c r="BS67">
        <v>1663</v>
      </c>
      <c r="BT67">
        <v>351</v>
      </c>
      <c r="BU67" s="1">
        <v>261161.63</v>
      </c>
      <c r="BV67" s="4">
        <v>0.34581624737502864</v>
      </c>
      <c r="BW67" s="1">
        <v>7345.3500000000004</v>
      </c>
      <c r="BX67" s="1">
        <v>89170.690000000002</v>
      </c>
      <c r="BY67" s="5">
        <v>0.1180750533362883</v>
      </c>
      <c r="BZ67" s="1">
        <v>154935.66</v>
      </c>
      <c r="CA67" s="5">
        <v>0.20515750543360189</v>
      </c>
      <c r="CB67" s="1">
        <v>7704.2799999999997</v>
      </c>
      <c r="CC67" s="1">
        <v>0</v>
      </c>
      <c r="CD67" s="1">
        <v>9351</v>
      </c>
      <c r="CE67" s="1">
        <v>-69478.600000000035</v>
      </c>
      <c r="CF67" s="1">
        <v>63.854187029677853</v>
      </c>
      <c r="CG67" s="17">
        <v>2.7320537752599985</v>
      </c>
      <c r="CH67" s="5">
        <v>0.71168952653249862</v>
      </c>
      <c r="CI67" s="5">
        <v>-0.091999842108776375</v>
      </c>
      <c r="CJ67" s="18">
        <f>CE67-BW67</f>
        <v>-76823.950000000041</v>
      </c>
      <c r="CK67" s="19">
        <f>CJ67/G67</f>
        <v>-0.10172616129531296</v>
      </c>
    </row>
    <row r="69">
      <c r="A69" t="s">
        <v>110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A9" activeCellId="0" sqref="A9:G9"/>
    </sheetView>
  </sheetViews>
  <sheetFormatPr defaultRowHeight="14.5"/>
  <cols>
    <col bestFit="1" customWidth="1" min="1" max="1" width="17.7265625"/>
    <col bestFit="1" customWidth="1" min="2" max="2" width="45.08984375"/>
    <col bestFit="1" customWidth="1" min="3" max="3" width="15.08984375"/>
    <col bestFit="1" customWidth="1" min="4" max="4" width="19.6328125"/>
    <col bestFit="1" customWidth="1" min="5" max="5" width="22.7265625"/>
    <col bestFit="1" customWidth="1" min="6" max="6" width="23"/>
    <col bestFit="1" customWidth="1" min="7" max="7" width="24.81640625"/>
    <col bestFit="1" customWidth="1" min="8" max="8" width="18.26953125"/>
  </cols>
  <sheetData>
    <row r="4">
      <c r="A4" s="20" t="s">
        <v>2</v>
      </c>
      <c r="B4" s="21" t="s">
        <v>100</v>
      </c>
    </row>
    <row r="6">
      <c r="A6" s="20" t="s">
        <v>111</v>
      </c>
      <c r="B6" s="21" t="s">
        <v>112</v>
      </c>
      <c r="C6" s="6" t="s">
        <v>113</v>
      </c>
      <c r="D6" s="6" t="s">
        <v>114</v>
      </c>
      <c r="E6" s="6" t="s">
        <v>115</v>
      </c>
      <c r="F6" s="6" t="s">
        <v>116</v>
      </c>
      <c r="G6" s="21" t="s">
        <v>117</v>
      </c>
      <c r="H6" s="22" t="s">
        <v>118</v>
      </c>
    </row>
    <row r="7">
      <c r="A7" s="21" t="s">
        <v>89</v>
      </c>
      <c r="B7" s="23">
        <v>733788.71999999997</v>
      </c>
      <c r="C7" s="24">
        <v>0.6791124153557444</v>
      </c>
      <c r="D7" s="24">
        <v>0.39464345766492986</v>
      </c>
      <c r="E7" s="24">
        <v>0.2254790043651802</v>
      </c>
      <c r="F7" s="24">
        <v>0.065194324600683515</v>
      </c>
      <c r="G7" s="23">
        <v>47838.860000000066</v>
      </c>
      <c r="H7" s="5">
        <f>GETPIVOTDATA("Soma de Resultado Líquido",$A$6,"Ano/Mês","2024/05")/GETPIVOTDATA("Soma de Total de Vendas Realizadas",$A$6,"Ano/Mês","2024/05")</f>
        <v>0.065194324600683515</v>
      </c>
      <c r="I7" s="19"/>
    </row>
    <row r="8">
      <c r="A8" s="21" t="s">
        <v>94</v>
      </c>
      <c r="B8" s="23">
        <v>703114.52000000002</v>
      </c>
      <c r="C8" s="24">
        <v>0.68179138158034336</v>
      </c>
      <c r="D8" s="24">
        <v>0.40767111978258413</v>
      </c>
      <c r="E8" s="24">
        <v>0.22735148464861737</v>
      </c>
      <c r="F8" s="24">
        <v>0.063057039413721691</v>
      </c>
      <c r="G8" s="23">
        <v>44336.320000000014</v>
      </c>
      <c r="H8" s="5">
        <f>GETPIVOTDATA("Soma de Resultado Líquido",$A$6,"Ano/Mês","2024/06")/GETPIVOTDATA("Soma de Total de Vendas Realizadas",$A$6,"Ano/Mês","2024/06")</f>
        <v>0.063057039413721691</v>
      </c>
    </row>
    <row r="9">
      <c r="A9" s="21" t="s">
        <v>95</v>
      </c>
      <c r="B9" s="23">
        <v>786650.60999999999</v>
      </c>
      <c r="C9" s="24">
        <v>0.68049569045652936</v>
      </c>
      <c r="D9" s="24">
        <v>0.39910590327634493</v>
      </c>
      <c r="E9" s="24">
        <v>0.19064630230185678</v>
      </c>
      <c r="F9" s="24">
        <v>0.086599195543749799</v>
      </c>
      <c r="G9" s="23">
        <v>68123.310000000056</v>
      </c>
      <c r="H9" s="5">
        <f>GETPIVOTDATA("Soma de Resultado Líquido",$A$6,"Ano/Mês","2024/07")/GETPIVOTDATA("Soma de Total de Vendas Realizadas",$A$6,"Ano/Mês","2024/07")</f>
        <v>0.086599195543749799</v>
      </c>
    </row>
    <row r="10">
      <c r="A10" s="21" t="s">
        <v>96</v>
      </c>
      <c r="B10" s="23">
        <v>668827.28000000003</v>
      </c>
      <c r="C10" s="24">
        <v>0.68018200453785316</v>
      </c>
      <c r="D10" s="24">
        <v>0.39832420334149987</v>
      </c>
      <c r="E10" s="24">
        <v>0.25206391102946646</v>
      </c>
      <c r="F10" s="24">
        <v>0.031732691884218574</v>
      </c>
      <c r="G10" s="23">
        <v>21223.689999999984</v>
      </c>
      <c r="H10" s="5">
        <f>GETPIVOTDATA("Soma de Resultado Líquido",$A$6,"Ano/Mês","2024/08")/GETPIVOTDATA("Soma de Total de Vendas Realizadas",$A$6,"Ano/Mês","2024/08")</f>
        <v>0.031732691884218574</v>
      </c>
    </row>
    <row r="11">
      <c r="A11" s="21" t="s">
        <v>97</v>
      </c>
      <c r="B11" s="23">
        <v>648248.10999999999</v>
      </c>
      <c r="C11" s="24">
        <v>0.67873091060766844</v>
      </c>
      <c r="D11" s="24">
        <v>0.38441200933861813</v>
      </c>
      <c r="E11" s="24">
        <v>0.23181497590482758</v>
      </c>
      <c r="F11" s="24">
        <v>0.04221926694086315</v>
      </c>
      <c r="G11" s="23">
        <v>27368.560000000016</v>
      </c>
      <c r="H11" s="5">
        <f>GETPIVOTDATA("Soma de Resultado Líquido",$A$6,"Ano/Mês","2024/09")/GETPIVOTDATA("Soma de Total de Vendas Realizadas",$A$6,"Ano/Mês","2024/09")</f>
        <v>0.04221926694086315</v>
      </c>
    </row>
    <row r="12">
      <c r="A12" s="21" t="s">
        <v>98</v>
      </c>
      <c r="B12" s="23">
        <v>706886.25</v>
      </c>
      <c r="C12" s="24">
        <v>0.67816741378121304</v>
      </c>
      <c r="D12" s="24">
        <v>0.39532485578657822</v>
      </c>
      <c r="E12" s="24">
        <v>0.24172024848410908</v>
      </c>
      <c r="F12" s="24">
        <v>0.046721887715314978</v>
      </c>
      <c r="G12" s="23">
        <v>33027.06000000007</v>
      </c>
      <c r="H12" s="5">
        <f>GETPIVOTDATA("Soma de Resultado Líquido",$A$6,"Ano/Mês","2024/10")/GETPIVOTDATA("Soma de Total de Vendas Realizadas",$A$6,"Ano/Mês","2024/10")</f>
        <v>0.046721887715314978</v>
      </c>
    </row>
    <row r="13">
      <c r="A13" s="21" t="s">
        <v>119</v>
      </c>
      <c r="B13" s="23">
        <v>4247515.4900000002</v>
      </c>
      <c r="C13" s="24">
        <v>0.67974663605322527</v>
      </c>
      <c r="D13" s="24">
        <v>0.39658025819842585</v>
      </c>
      <c r="E13" s="24">
        <v>0.22817932112234288</v>
      </c>
      <c r="F13" s="24">
        <v>0.055920734349758618</v>
      </c>
      <c r="G13" s="23">
        <v>241917.80000000022</v>
      </c>
      <c r="H13" s="5">
        <f>GETPIVOTDATA("Soma de Resultado Líquido",$A$6)/GETPIVOTDATA("Soma de Total de Vendas Realizadas",$A$6)</f>
        <v>0.056955130727492698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I50" activeCellId="0" sqref="I50:K68"/>
    </sheetView>
  </sheetViews>
  <sheetFormatPr defaultRowHeight="14.25"/>
  <cols>
    <col bestFit="1" customWidth="1" min="1" max="1" width="40.6328125"/>
    <col bestFit="1" customWidth="1" min="2" max="2" width="13.7265625"/>
    <col bestFit="1" customWidth="1" min="3" max="3" width="8.90625"/>
    <col bestFit="1" customWidth="1" min="5" max="5" width="40.6328125"/>
    <col bestFit="1" customWidth="1" min="6" max="6" width="15.26953125"/>
    <col bestFit="1" customWidth="1" min="7" max="7" width="8.90625"/>
    <col bestFit="1" customWidth="1" min="9" max="9" width="40.6328125"/>
    <col bestFit="1" customWidth="1" min="10" max="10" width="13.7265625"/>
    <col bestFit="1" customWidth="1" min="11" max="11" width="7.08984375"/>
  </cols>
  <sheetData>
    <row r="3" ht="15">
      <c r="A3" s="25" t="s">
        <v>100</v>
      </c>
      <c r="B3" s="25"/>
      <c r="C3" s="25"/>
      <c r="E3" s="25" t="s">
        <v>101</v>
      </c>
      <c r="F3" s="25"/>
      <c r="G3" s="25"/>
      <c r="I3" s="25" t="s">
        <v>90</v>
      </c>
      <c r="J3" s="25"/>
      <c r="K3" s="25"/>
    </row>
    <row r="4">
      <c r="A4" s="26" t="s">
        <v>120</v>
      </c>
      <c r="B4" s="27" t="s">
        <v>121</v>
      </c>
      <c r="C4" s="28" t="s">
        <v>122</v>
      </c>
      <c r="E4" s="26" t="s">
        <v>120</v>
      </c>
      <c r="F4" s="27" t="s">
        <v>121</v>
      </c>
      <c r="G4" s="28" t="s">
        <v>122</v>
      </c>
      <c r="I4" s="26" t="s">
        <v>120</v>
      </c>
      <c r="J4" s="27" t="s">
        <v>121</v>
      </c>
      <c r="K4" s="28" t="s">
        <v>122</v>
      </c>
    </row>
    <row r="5">
      <c r="A5" s="29" t="s">
        <v>123</v>
      </c>
      <c r="B5" s="1">
        <v>715256.84999999998</v>
      </c>
      <c r="C5" s="30"/>
      <c r="E5" s="29" t="s">
        <v>123</v>
      </c>
      <c r="F5" s="1">
        <v>536671.26000000001</v>
      </c>
      <c r="G5" s="30"/>
      <c r="I5" s="29" t="s">
        <v>123</v>
      </c>
      <c r="J5" s="1">
        <v>254043.26000000001</v>
      </c>
      <c r="K5" s="30"/>
    </row>
    <row r="6">
      <c r="A6" s="31" t="s">
        <v>124</v>
      </c>
      <c r="B6" s="32">
        <v>485962.17999999999</v>
      </c>
      <c r="C6" s="33">
        <f>B6/B5</f>
        <v>0.67942331485535579</v>
      </c>
      <c r="E6" s="31" t="s">
        <v>124</v>
      </c>
      <c r="F6" s="32">
        <v>368381.79999999999</v>
      </c>
      <c r="G6" s="33">
        <f>F6/F5</f>
        <v>0.68641983921404692</v>
      </c>
      <c r="I6" s="31" t="s">
        <v>124</v>
      </c>
      <c r="J6" s="32">
        <v>170280.81</v>
      </c>
      <c r="K6" s="33">
        <f>J6/J5</f>
        <v>0.67028273058690868</v>
      </c>
    </row>
    <row r="7">
      <c r="A7" s="29" t="s">
        <v>125</v>
      </c>
      <c r="B7" s="1">
        <v>464190.81</v>
      </c>
      <c r="C7" s="30">
        <f>B7/(B5+B7)</f>
        <v>0.393566264737852</v>
      </c>
      <c r="E7" s="29" t="s">
        <v>125</v>
      </c>
      <c r="F7" s="1">
        <v>335370.31</v>
      </c>
      <c r="G7" s="30">
        <f>F7/(F5+F7)</f>
        <v>0.38458064562220351</v>
      </c>
      <c r="I7" s="29" t="s">
        <v>125</v>
      </c>
      <c r="J7" s="1">
        <v>160111.91</v>
      </c>
      <c r="K7" s="30">
        <f>J7/(J5+J7)</f>
        <v>0.3865988440999058</v>
      </c>
    </row>
    <row r="8">
      <c r="A8" s="31" t="s">
        <v>126</v>
      </c>
      <c r="B8" s="34">
        <v>36821.43</v>
      </c>
      <c r="C8" s="35"/>
      <c r="E8" s="31" t="s">
        <v>126</v>
      </c>
      <c r="F8" s="34">
        <v>29881.830000000002</v>
      </c>
      <c r="G8" s="35"/>
      <c r="I8" s="31" t="s">
        <v>126</v>
      </c>
      <c r="J8" s="34">
        <v>13666.290000000001</v>
      </c>
      <c r="K8" s="35"/>
    </row>
    <row r="9">
      <c r="A9" s="29" t="s">
        <v>127</v>
      </c>
      <c r="B9" s="36">
        <v>12575.290000000001</v>
      </c>
      <c r="C9" s="5"/>
      <c r="E9" s="29" t="s">
        <v>127</v>
      </c>
      <c r="F9" s="36">
        <v>11735.33</v>
      </c>
      <c r="G9" s="5"/>
      <c r="I9" s="29" t="s">
        <v>127</v>
      </c>
      <c r="J9" s="36">
        <v>5916.29</v>
      </c>
      <c r="K9" s="5"/>
    </row>
    <row r="10">
      <c r="A10" s="31" t="s">
        <v>128</v>
      </c>
      <c r="B10" s="32">
        <v>56.93</v>
      </c>
      <c r="C10" s="35"/>
      <c r="E10" s="31" t="s">
        <v>128</v>
      </c>
      <c r="F10" s="32">
        <v>45.729999999999997</v>
      </c>
      <c r="G10" s="35"/>
      <c r="I10" s="31" t="s">
        <v>128</v>
      </c>
      <c r="J10" s="32">
        <v>42.93</v>
      </c>
      <c r="K10" s="35"/>
    </row>
    <row r="11">
      <c r="A11" s="29" t="s">
        <v>129</v>
      </c>
      <c r="B11" s="1">
        <v>41526.389999999999</v>
      </c>
      <c r="C11" s="30">
        <v>0.058099999999999999</v>
      </c>
      <c r="E11" s="29" t="s">
        <v>129</v>
      </c>
      <c r="F11" s="1">
        <v>35909.910000000003</v>
      </c>
      <c r="G11" s="30">
        <f>F11/F5</f>
        <v>0.066912303073579912</v>
      </c>
      <c r="I11" s="29" t="s">
        <v>129</v>
      </c>
      <c r="J11" s="1">
        <v>-10061.379999999999</v>
      </c>
      <c r="K11" s="30">
        <f>J11/J5</f>
        <v>-0.03960498696166944</v>
      </c>
    </row>
    <row r="12">
      <c r="A12" s="31" t="s">
        <v>130</v>
      </c>
      <c r="B12" s="32">
        <v>19977.619999999999</v>
      </c>
      <c r="C12" s="33">
        <v>0.028199999999999999</v>
      </c>
      <c r="E12" s="31" t="s">
        <v>130</v>
      </c>
      <c r="F12" s="32">
        <v>19920.119999999999</v>
      </c>
      <c r="G12" s="33">
        <f>F12/F5</f>
        <v>0.037117918332351167</v>
      </c>
      <c r="I12" s="31" t="s">
        <v>130</v>
      </c>
      <c r="J12" s="32">
        <v>0</v>
      </c>
      <c r="K12" s="33">
        <f>J12/J5</f>
        <v>0</v>
      </c>
    </row>
    <row r="13">
      <c r="A13" s="29" t="s">
        <v>131</v>
      </c>
      <c r="B13" s="37" t="s">
        <v>132</v>
      </c>
      <c r="C13" s="30">
        <v>0.33439999999999998</v>
      </c>
      <c r="E13" s="29" t="s">
        <v>131</v>
      </c>
      <c r="F13" s="37" t="s">
        <v>132</v>
      </c>
      <c r="G13" s="30">
        <v>0.36599999999999999</v>
      </c>
      <c r="I13" s="29" t="s">
        <v>131</v>
      </c>
      <c r="J13" s="37" t="s">
        <v>132</v>
      </c>
      <c r="K13" s="30">
        <v>0.35039999999999999</v>
      </c>
    </row>
    <row r="14">
      <c r="A14" s="31" t="s">
        <v>133</v>
      </c>
      <c r="B14" s="38" t="s">
        <v>132</v>
      </c>
      <c r="C14" s="33">
        <v>0.2392</v>
      </c>
      <c r="E14" s="31" t="s">
        <v>133</v>
      </c>
      <c r="F14" s="38" t="s">
        <v>132</v>
      </c>
      <c r="G14" s="33">
        <v>0.2412</v>
      </c>
      <c r="I14" s="31" t="s">
        <v>133</v>
      </c>
      <c r="J14" s="38" t="s">
        <v>132</v>
      </c>
      <c r="K14" s="33">
        <v>0.25919999999999999</v>
      </c>
    </row>
    <row r="15">
      <c r="A15" s="29" t="s">
        <v>134</v>
      </c>
      <c r="B15" s="37" t="s">
        <v>132</v>
      </c>
      <c r="C15" s="30">
        <v>0.077899999999999997</v>
      </c>
      <c r="E15" s="29" t="s">
        <v>134</v>
      </c>
      <c r="F15" s="37" t="s">
        <v>132</v>
      </c>
      <c r="G15" s="30">
        <v>0.078100000000000003</v>
      </c>
      <c r="I15" s="29" t="s">
        <v>134</v>
      </c>
      <c r="J15" s="37" t="s">
        <v>132</v>
      </c>
      <c r="K15" s="30">
        <v>0.099900000000000003</v>
      </c>
    </row>
    <row r="16" s="39" customFormat="1">
      <c r="A16" s="40" t="s">
        <v>135</v>
      </c>
      <c r="B16" s="41" t="s">
        <v>132</v>
      </c>
      <c r="C16" s="42">
        <v>0.2122</v>
      </c>
      <c r="E16" s="40" t="s">
        <v>135</v>
      </c>
      <c r="F16" s="41" t="s">
        <v>132</v>
      </c>
      <c r="G16" s="42">
        <v>0.2079</v>
      </c>
      <c r="I16" s="40" t="s">
        <v>135</v>
      </c>
      <c r="J16" s="41" t="s">
        <v>132</v>
      </c>
      <c r="K16" s="42">
        <v>0.1724</v>
      </c>
    </row>
    <row r="17" s="39" customFormat="1">
      <c r="A17" s="43" t="s">
        <v>136</v>
      </c>
      <c r="B17" s="44" t="s">
        <v>132</v>
      </c>
      <c r="C17" s="45">
        <v>0.1363</v>
      </c>
      <c r="E17" s="43" t="s">
        <v>136</v>
      </c>
      <c r="F17" s="44" t="s">
        <v>132</v>
      </c>
      <c r="G17" s="45">
        <v>0.10680000000000001</v>
      </c>
      <c r="I17" s="43" t="s">
        <v>136</v>
      </c>
      <c r="J17" s="44" t="s">
        <v>132</v>
      </c>
      <c r="K17" s="45">
        <v>0.1182</v>
      </c>
    </row>
    <row r="18">
      <c r="A18" s="40" t="s">
        <v>137</v>
      </c>
      <c r="B18" s="46">
        <v>159796.78</v>
      </c>
      <c r="C18" s="42">
        <f>B18/B5</f>
        <v>0.22341174362748151</v>
      </c>
      <c r="E18" s="40" t="s">
        <v>137</v>
      </c>
      <c r="F18" s="46">
        <v>101211.75999999999</v>
      </c>
      <c r="G18" s="42">
        <f>F18/F5</f>
        <v>0.18859172745714015</v>
      </c>
      <c r="I18" s="40" t="s">
        <v>137</v>
      </c>
      <c r="J18" s="46">
        <v>73978.429999999993</v>
      </c>
      <c r="K18" s="42">
        <f>J18/J5</f>
        <v>0.29120406500845558</v>
      </c>
    </row>
    <row r="19">
      <c r="A19" s="43" t="s">
        <v>138</v>
      </c>
      <c r="B19" s="47">
        <v>525166.59999999998</v>
      </c>
      <c r="C19" s="45">
        <f>B19/B5</f>
        <v>0.73423498146155464</v>
      </c>
      <c r="E19" s="43" t="s">
        <v>138</v>
      </c>
      <c r="F19" s="47">
        <v>405734.16999999998</v>
      </c>
      <c r="G19" s="45">
        <f>F19/F5</f>
        <v>0.7560199329474061</v>
      </c>
      <c r="I19" s="43" t="s">
        <v>138</v>
      </c>
      <c r="J19" s="47">
        <v>199069.45000000001</v>
      </c>
      <c r="K19" s="45">
        <f>J19/J5</f>
        <v>0.78360453255087348</v>
      </c>
    </row>
    <row r="20">
      <c r="A20" s="40" t="s">
        <v>139</v>
      </c>
      <c r="B20" s="46">
        <v>90613.619999999995</v>
      </c>
      <c r="C20" s="42">
        <f>B20/B5</f>
        <v>0.12668682585843113</v>
      </c>
      <c r="E20" s="40" t="s">
        <v>139</v>
      </c>
      <c r="F20" s="46">
        <v>69381.289999999994</v>
      </c>
      <c r="G20" s="42">
        <f>F20/F5</f>
        <v>0.12928080031712522</v>
      </c>
      <c r="I20" s="40" t="s">
        <v>139</v>
      </c>
      <c r="J20" s="46">
        <v>47456.410000000003</v>
      </c>
      <c r="K20" s="42">
        <f>J20/J5</f>
        <v>0.18680444425095161</v>
      </c>
    </row>
    <row r="21">
      <c r="A21" s="43" t="s">
        <v>140</v>
      </c>
      <c r="B21" s="47">
        <v>53529.93</v>
      </c>
      <c r="C21" s="45">
        <f>B21/B5</f>
        <v>0.074840150080352261</v>
      </c>
      <c r="E21" s="43" t="s">
        <v>140</v>
      </c>
      <c r="F21" s="47">
        <v>19201.720000000001</v>
      </c>
      <c r="G21" s="45">
        <f>F21/F5</f>
        <v>0.035779296249253224</v>
      </c>
      <c r="I21" s="43" t="s">
        <v>140</v>
      </c>
      <c r="J21" s="47">
        <v>14570.15</v>
      </c>
      <c r="K21" s="45">
        <f>J21/J5</f>
        <v>0.057353027197021483</v>
      </c>
    </row>
    <row r="26" ht="15">
      <c r="A26" s="25" t="s">
        <v>104</v>
      </c>
      <c r="B26" s="25"/>
      <c r="C26" s="25"/>
      <c r="E26" s="25" t="s">
        <v>102</v>
      </c>
      <c r="F26" s="25"/>
      <c r="G26" s="25"/>
      <c r="I26" s="25" t="s">
        <v>107</v>
      </c>
      <c r="J26" s="25"/>
      <c r="K26" s="25"/>
    </row>
    <row r="27">
      <c r="A27" s="26" t="s">
        <v>120</v>
      </c>
      <c r="B27" s="27" t="s">
        <v>121</v>
      </c>
      <c r="C27" s="28" t="s">
        <v>122</v>
      </c>
      <c r="E27" s="26" t="s">
        <v>120</v>
      </c>
      <c r="F27" s="27" t="s">
        <v>121</v>
      </c>
      <c r="G27" s="28" t="s">
        <v>122</v>
      </c>
      <c r="I27" s="26" t="s">
        <v>120</v>
      </c>
      <c r="J27" s="27" t="s">
        <v>121</v>
      </c>
      <c r="K27" s="28" t="s">
        <v>122</v>
      </c>
    </row>
    <row r="28">
      <c r="A28" s="29" t="s">
        <v>123</v>
      </c>
      <c r="B28" s="1">
        <v>442342.51000000001</v>
      </c>
      <c r="C28" s="30"/>
      <c r="E28" s="29" t="s">
        <v>123</v>
      </c>
      <c r="F28" s="1">
        <v>1008510.79</v>
      </c>
      <c r="G28" s="30"/>
      <c r="I28" s="29" t="s">
        <v>123</v>
      </c>
      <c r="J28" s="1">
        <v>293531.88</v>
      </c>
      <c r="K28" s="30"/>
    </row>
    <row r="29">
      <c r="A29" s="31" t="s">
        <v>124</v>
      </c>
      <c r="B29" s="32">
        <v>292286.26000000001</v>
      </c>
      <c r="C29" s="33">
        <f>B29/B28</f>
        <v>0.66076909497122494</v>
      </c>
      <c r="E29" s="31" t="s">
        <v>124</v>
      </c>
      <c r="F29" s="32">
        <v>702774.53000000003</v>
      </c>
      <c r="G29" s="33">
        <f>F29/F28</f>
        <v>0.69684383842834241</v>
      </c>
      <c r="I29" s="31" t="s">
        <v>124</v>
      </c>
      <c r="J29" s="32">
        <v>194865.62</v>
      </c>
      <c r="K29" s="33">
        <f>J29/J28</f>
        <v>0.66386526737743101</v>
      </c>
    </row>
    <row r="30">
      <c r="A30" s="29" t="s">
        <v>125</v>
      </c>
      <c r="B30" s="1">
        <v>240318.25</v>
      </c>
      <c r="C30" s="30">
        <f>B30/(B28+B30)</f>
        <v>0.35203173242299735</v>
      </c>
      <c r="E30" s="29" t="s">
        <v>125</v>
      </c>
      <c r="F30" s="1">
        <v>493202.57000000001</v>
      </c>
      <c r="G30" s="30">
        <f>F30/(F28+F30)</f>
        <v>0.3284265713664557</v>
      </c>
      <c r="I30" s="29" t="s">
        <v>125</v>
      </c>
      <c r="J30" s="1">
        <v>177569.88</v>
      </c>
      <c r="K30" s="30">
        <f>J30/(J28+J30)</f>
        <v>0.37692467971251054</v>
      </c>
    </row>
    <row r="31">
      <c r="A31" s="31" t="s">
        <v>126</v>
      </c>
      <c r="B31" s="34">
        <v>26109.43</v>
      </c>
      <c r="C31" s="35"/>
      <c r="E31" s="31" t="s">
        <v>126</v>
      </c>
      <c r="F31" s="34">
        <v>44193.830000000002</v>
      </c>
      <c r="G31" s="35"/>
      <c r="I31" s="31" t="s">
        <v>126</v>
      </c>
      <c r="J31" s="34">
        <v>19316.169999999998</v>
      </c>
      <c r="K31" s="35"/>
    </row>
    <row r="32">
      <c r="A32" s="29" t="s">
        <v>127</v>
      </c>
      <c r="B32" s="36">
        <v>10664.57</v>
      </c>
      <c r="C32" s="5"/>
      <c r="E32" s="29" t="s">
        <v>127</v>
      </c>
      <c r="F32" s="36">
        <v>14314.67</v>
      </c>
      <c r="G32" s="5"/>
      <c r="I32" s="29" t="s">
        <v>127</v>
      </c>
      <c r="J32" s="36">
        <v>7863</v>
      </c>
      <c r="K32" s="5"/>
    </row>
    <row r="33">
      <c r="A33" s="31" t="s">
        <v>128</v>
      </c>
      <c r="B33" s="32">
        <v>41.520000000000003</v>
      </c>
      <c r="C33" s="35"/>
      <c r="E33" s="31" t="s">
        <v>128</v>
      </c>
      <c r="F33" s="32">
        <v>70.489999999999995</v>
      </c>
      <c r="G33" s="35"/>
      <c r="I33" s="31" t="s">
        <v>128</v>
      </c>
      <c r="J33" s="32">
        <v>37.340000000000003</v>
      </c>
      <c r="K33" s="35"/>
    </row>
    <row r="34">
      <c r="A34" s="29" t="s">
        <v>129</v>
      </c>
      <c r="B34" s="1">
        <v>48723.779999999999</v>
      </c>
      <c r="C34" s="30">
        <f>B34/B28</f>
        <v>0.11014944053195339</v>
      </c>
      <c r="E34" s="29" t="s">
        <v>129</v>
      </c>
      <c r="F34" s="1">
        <v>82866.179999999993</v>
      </c>
      <c r="G34" s="30">
        <f>F34/F28</f>
        <v>0.082166874982071328</v>
      </c>
      <c r="I34" s="29" t="s">
        <v>129</v>
      </c>
      <c r="J34" s="1">
        <v>12075</v>
      </c>
      <c r="K34" s="30">
        <f>J34/J28</f>
        <v>0.041136928636167219</v>
      </c>
    </row>
    <row r="35">
      <c r="A35" s="31" t="s">
        <v>130</v>
      </c>
      <c r="B35" s="32">
        <v>0</v>
      </c>
      <c r="C35" s="33">
        <f>B35/B28</f>
        <v>0</v>
      </c>
      <c r="E35" s="31" t="s">
        <v>130</v>
      </c>
      <c r="F35" s="32">
        <v>52.880000000000003</v>
      </c>
      <c r="G35" s="33">
        <f>F35/F28</f>
        <v>5.2433747387075552e-05</v>
      </c>
      <c r="I35" s="31" t="s">
        <v>130</v>
      </c>
      <c r="J35" s="32">
        <v>0</v>
      </c>
      <c r="K35" s="33">
        <f>J35/J28</f>
        <v>0</v>
      </c>
    </row>
    <row r="36">
      <c r="A36" s="29" t="s">
        <v>131</v>
      </c>
      <c r="B36" s="37" t="s">
        <v>132</v>
      </c>
      <c r="C36" s="30">
        <v>0.31709999999999999</v>
      </c>
      <c r="E36" s="29" t="s">
        <v>131</v>
      </c>
      <c r="F36" s="37" t="s">
        <v>132</v>
      </c>
      <c r="G36" s="30">
        <v>0.371</v>
      </c>
      <c r="I36" s="29" t="s">
        <v>131</v>
      </c>
      <c r="J36" s="37" t="s">
        <v>132</v>
      </c>
      <c r="K36" s="30">
        <v>0.2898</v>
      </c>
    </row>
    <row r="37">
      <c r="A37" s="31" t="s">
        <v>133</v>
      </c>
      <c r="B37" s="38" t="s">
        <v>132</v>
      </c>
      <c r="C37" s="33">
        <v>0.2225</v>
      </c>
      <c r="E37" s="31" t="s">
        <v>133</v>
      </c>
      <c r="F37" s="38" t="s">
        <v>132</v>
      </c>
      <c r="G37" s="33">
        <v>0.1696</v>
      </c>
      <c r="I37" s="31" t="s">
        <v>133</v>
      </c>
      <c r="J37" s="38" t="s">
        <v>132</v>
      </c>
      <c r="K37" s="33">
        <v>0.2205</v>
      </c>
    </row>
    <row r="38">
      <c r="A38" s="29" t="s">
        <v>134</v>
      </c>
      <c r="B38" s="37" t="s">
        <v>132</v>
      </c>
      <c r="C38" s="30">
        <v>0.1011</v>
      </c>
      <c r="E38" s="29" t="s">
        <v>134</v>
      </c>
      <c r="F38" s="37" t="s">
        <v>132</v>
      </c>
      <c r="G38" s="30">
        <v>0.071099999999999997</v>
      </c>
      <c r="I38" s="29" t="s">
        <v>134</v>
      </c>
      <c r="J38" s="37" t="s">
        <v>132</v>
      </c>
      <c r="K38" s="30">
        <v>0.11749999999999999</v>
      </c>
    </row>
    <row r="39">
      <c r="A39" s="40" t="s">
        <v>135</v>
      </c>
      <c r="B39" s="41" t="s">
        <v>132</v>
      </c>
      <c r="C39" s="42">
        <v>0.2349</v>
      </c>
      <c r="E39" s="40" t="s">
        <v>135</v>
      </c>
      <c r="F39" s="41" t="s">
        <v>132</v>
      </c>
      <c r="G39" s="42">
        <v>0.2392</v>
      </c>
      <c r="I39" s="40" t="s">
        <v>135</v>
      </c>
      <c r="J39" s="41" t="s">
        <v>132</v>
      </c>
      <c r="K39" s="42">
        <v>0.25309999999999999</v>
      </c>
    </row>
    <row r="40">
      <c r="A40" s="43" t="s">
        <v>136</v>
      </c>
      <c r="B40" s="44" t="s">
        <v>132</v>
      </c>
      <c r="C40" s="45">
        <v>0.1244</v>
      </c>
      <c r="E40" s="43" t="s">
        <v>136</v>
      </c>
      <c r="F40" s="44" t="s">
        <v>132</v>
      </c>
      <c r="G40" s="45">
        <v>0.14899999999999999</v>
      </c>
      <c r="I40" s="43" t="s">
        <v>136</v>
      </c>
      <c r="J40" s="44" t="s">
        <v>132</v>
      </c>
      <c r="K40" s="45">
        <v>0.1191</v>
      </c>
    </row>
    <row r="41">
      <c r="A41" s="40" t="s">
        <v>137</v>
      </c>
      <c r="B41" s="46">
        <v>83548.240000000005</v>
      </c>
      <c r="C41" s="42">
        <f>B41/B28</f>
        <v>0.18887680498987086</v>
      </c>
      <c r="E41" s="40" t="s">
        <v>137</v>
      </c>
      <c r="F41" s="46">
        <v>186860.25</v>
      </c>
      <c r="G41" s="42">
        <f>F41/F28</f>
        <v>0.18528334238248456</v>
      </c>
      <c r="I41" s="40" t="s">
        <v>137</v>
      </c>
      <c r="J41" s="46">
        <v>72787.850000000006</v>
      </c>
      <c r="K41" s="42">
        <f>J41/J28</f>
        <v>0.24797255412257097</v>
      </c>
    </row>
    <row r="42">
      <c r="A42" s="43" t="s">
        <v>138</v>
      </c>
      <c r="B42" s="47">
        <v>315590.40000000002</v>
      </c>
      <c r="C42" s="45">
        <f>B42/B28</f>
        <v>0.71345256868936247</v>
      </c>
      <c r="E42" s="43" t="s">
        <v>138</v>
      </c>
      <c r="F42" s="47">
        <v>750438.06999999995</v>
      </c>
      <c r="G42" s="45">
        <f>F42/F28</f>
        <v>0.74410514735295985</v>
      </c>
      <c r="I42" s="43" t="s">
        <v>138</v>
      </c>
      <c r="J42" s="47">
        <v>213154.01000000001</v>
      </c>
      <c r="K42" s="45">
        <f>J42/J28</f>
        <v>0.72616987974185299</v>
      </c>
    </row>
    <row r="43">
      <c r="A43" s="40" t="s">
        <v>139</v>
      </c>
      <c r="B43" s="46">
        <v>57207.18</v>
      </c>
      <c r="C43" s="42">
        <f>B43/B28</f>
        <v>0.12932779171506714</v>
      </c>
      <c r="E43" s="40" t="s">
        <v>139</v>
      </c>
      <c r="F43" s="46">
        <v>111251.07000000001</v>
      </c>
      <c r="G43" s="42">
        <f>F43/F28</f>
        <v>0.11031222581168418</v>
      </c>
      <c r="I43" s="40" t="s">
        <v>139</v>
      </c>
      <c r="J43" s="46">
        <v>43164.18</v>
      </c>
      <c r="K43" s="42">
        <f>J43/J28</f>
        <v>0.14705108010755083</v>
      </c>
    </row>
    <row r="44">
      <c r="A44" s="43" t="s">
        <v>140</v>
      </c>
      <c r="B44" s="47">
        <v>18498.380000000001</v>
      </c>
      <c r="C44" s="45">
        <f>B44/B28</f>
        <v>0.041819132418451033</v>
      </c>
      <c r="E44" s="43" t="s">
        <v>140</v>
      </c>
      <c r="F44" s="47">
        <v>61766.559999999998</v>
      </c>
      <c r="G44" s="45">
        <f>F44/F28</f>
        <v>0.061245313994112045</v>
      </c>
      <c r="I44" s="43" t="s">
        <v>140</v>
      </c>
      <c r="J44" s="47">
        <v>21241.290000000001</v>
      </c>
      <c r="K44" s="45">
        <f>J44/J28</f>
        <v>0.07236450773251614</v>
      </c>
    </row>
    <row r="50" ht="15">
      <c r="A50" s="25" t="s">
        <v>105</v>
      </c>
      <c r="B50" s="25"/>
      <c r="C50" s="25"/>
      <c r="E50" s="25" t="s">
        <v>109</v>
      </c>
      <c r="F50" s="25"/>
      <c r="G50" s="25"/>
      <c r="I50" s="25" t="s">
        <v>103</v>
      </c>
      <c r="J50" s="25"/>
      <c r="K50" s="25"/>
    </row>
    <row r="51">
      <c r="A51" s="26" t="s">
        <v>120</v>
      </c>
      <c r="B51" s="27" t="s">
        <v>121</v>
      </c>
      <c r="C51" s="28" t="s">
        <v>122</v>
      </c>
      <c r="E51" s="26" t="s">
        <v>120</v>
      </c>
      <c r="F51" s="27" t="s">
        <v>121</v>
      </c>
      <c r="G51" s="28" t="s">
        <v>122</v>
      </c>
      <c r="I51" s="26" t="s">
        <v>120</v>
      </c>
      <c r="J51" s="27" t="s">
        <v>121</v>
      </c>
      <c r="K51" s="28" t="s">
        <v>122</v>
      </c>
    </row>
    <row r="52">
      <c r="A52" s="29" t="s">
        <v>123</v>
      </c>
      <c r="B52" s="1">
        <v>334307.59999999998</v>
      </c>
      <c r="C52" s="30"/>
      <c r="E52" s="29" t="s">
        <v>123</v>
      </c>
      <c r="F52" s="1">
        <v>736680.68999999994</v>
      </c>
      <c r="G52" s="30"/>
      <c r="I52" s="29" t="s">
        <v>123</v>
      </c>
      <c r="J52" s="1">
        <v>318121.16999999998</v>
      </c>
      <c r="K52" s="30"/>
    </row>
    <row r="53">
      <c r="A53" s="31" t="s">
        <v>124</v>
      </c>
      <c r="B53" s="32">
        <v>228838.81</v>
      </c>
      <c r="C53" s="33">
        <f>B53/B52</f>
        <v>0.68451572743186218</v>
      </c>
      <c r="E53" s="31" t="s">
        <v>124</v>
      </c>
      <c r="F53" s="32">
        <v>518868.35999999999</v>
      </c>
      <c r="G53" s="33">
        <f>F53/F52</f>
        <v>0.70433278222617735</v>
      </c>
      <c r="I53" s="31" t="s">
        <v>124</v>
      </c>
      <c r="J53" s="32">
        <v>220668.64999999999</v>
      </c>
      <c r="K53" s="33">
        <f>J53/J52</f>
        <v>0.69366226082973359</v>
      </c>
    </row>
    <row r="54">
      <c r="A54" s="29" t="s">
        <v>125</v>
      </c>
      <c r="B54" s="1">
        <v>171884.26999999999</v>
      </c>
      <c r="C54" s="30">
        <f>B54/(B52+B54)</f>
        <v>0.33956347422174121</v>
      </c>
      <c r="E54" s="29" t="s">
        <v>125</v>
      </c>
      <c r="F54" s="1">
        <v>419093.39000000001</v>
      </c>
      <c r="G54" s="30">
        <f>F54/(F52+F54)</f>
        <v>0.36260840007763456</v>
      </c>
      <c r="I54" s="29" t="s">
        <v>125</v>
      </c>
      <c r="J54" s="1">
        <v>197590.56</v>
      </c>
      <c r="K54" s="30">
        <f>J54/(J52+J54)</f>
        <v>0.38314148875380438</v>
      </c>
    </row>
    <row r="55">
      <c r="A55" s="31" t="s">
        <v>126</v>
      </c>
      <c r="B55" s="34">
        <v>18088</v>
      </c>
      <c r="C55" s="35"/>
      <c r="E55" s="31" t="s">
        <v>126</v>
      </c>
      <c r="F55" s="34">
        <v>33024.830000000002</v>
      </c>
      <c r="G55" s="35"/>
      <c r="I55" s="31" t="s">
        <v>126</v>
      </c>
      <c r="J55" s="34">
        <v>16482.5</v>
      </c>
      <c r="K55" s="35"/>
    </row>
    <row r="56">
      <c r="A56" s="29" t="s">
        <v>127</v>
      </c>
      <c r="B56" s="36">
        <v>7148.8299999999999</v>
      </c>
      <c r="C56" s="5"/>
      <c r="E56" s="29" t="s">
        <v>127</v>
      </c>
      <c r="F56" s="36">
        <v>12018.5</v>
      </c>
      <c r="G56" s="5"/>
      <c r="I56" s="29" t="s">
        <v>127</v>
      </c>
      <c r="J56" s="36">
        <v>6600.5</v>
      </c>
      <c r="K56" s="5"/>
    </row>
    <row r="57">
      <c r="A57" s="31" t="s">
        <v>128</v>
      </c>
      <c r="B57" s="32">
        <v>46.759999999999998</v>
      </c>
      <c r="C57" s="35"/>
      <c r="E57" s="31" t="s">
        <v>128</v>
      </c>
      <c r="F57" s="32">
        <v>61.219999999999999</v>
      </c>
      <c r="G57" s="35"/>
      <c r="I57" s="31" t="s">
        <v>128</v>
      </c>
      <c r="J57" s="32">
        <v>48.219999999999999</v>
      </c>
      <c r="K57" s="35"/>
    </row>
    <row r="58">
      <c r="A58" s="29" t="s">
        <v>129</v>
      </c>
      <c r="B58" s="1">
        <v>17114.470000000001</v>
      </c>
      <c r="C58" s="30">
        <f>B58/B52</f>
        <v>0.051193780817426829</v>
      </c>
      <c r="E58" s="29" t="s">
        <v>129</v>
      </c>
      <c r="F58" s="1">
        <v>7530.2200000000003</v>
      </c>
      <c r="G58" s="30">
        <f>F58/F52</f>
        <v>0.010221823514879968</v>
      </c>
      <c r="I58" s="29" t="s">
        <v>129</v>
      </c>
      <c r="J58" s="1">
        <v>-4815.9200000000001</v>
      </c>
      <c r="K58" s="30">
        <f>J58/J52</f>
        <v>-0.015138634124852491</v>
      </c>
    </row>
    <row r="59">
      <c r="A59" s="31" t="s">
        <v>130</v>
      </c>
      <c r="B59" s="32">
        <v>0</v>
      </c>
      <c r="C59" s="33">
        <f>B59/B52</f>
        <v>0</v>
      </c>
      <c r="E59" s="31" t="s">
        <v>130</v>
      </c>
      <c r="F59" s="32">
        <v>0</v>
      </c>
      <c r="G59" s="33">
        <f>F59/F52</f>
        <v>0</v>
      </c>
      <c r="I59" s="31" t="s">
        <v>130</v>
      </c>
      <c r="J59" s="32">
        <v>37431.139999999999</v>
      </c>
      <c r="K59" s="33">
        <f>J59/J52</f>
        <v>0.11766315331984979</v>
      </c>
    </row>
    <row r="60">
      <c r="A60" s="29" t="s">
        <v>131</v>
      </c>
      <c r="B60" s="37" t="s">
        <v>132</v>
      </c>
      <c r="C60" s="30">
        <v>0.32619999999999999</v>
      </c>
      <c r="E60" s="29" t="s">
        <v>131</v>
      </c>
      <c r="F60" s="37" t="s">
        <v>132</v>
      </c>
      <c r="G60" s="30">
        <v>0.37669999999999998</v>
      </c>
      <c r="I60" s="29" t="s">
        <v>131</v>
      </c>
      <c r="J60" s="37" t="s">
        <v>132</v>
      </c>
      <c r="K60" s="30">
        <v>0.34839999999999999</v>
      </c>
    </row>
    <row r="61">
      <c r="A61" s="31" t="s">
        <v>133</v>
      </c>
      <c r="B61" s="38" t="s">
        <v>132</v>
      </c>
      <c r="C61" s="33">
        <v>0.18990000000000001</v>
      </c>
      <c r="E61" s="31" t="s">
        <v>133</v>
      </c>
      <c r="F61" s="38" t="s">
        <v>132</v>
      </c>
      <c r="G61" s="33">
        <v>0.18110000000000001</v>
      </c>
      <c r="I61" s="31" t="s">
        <v>133</v>
      </c>
      <c r="J61" s="38" t="s">
        <v>132</v>
      </c>
      <c r="K61" s="33">
        <v>0.26000000000000001</v>
      </c>
    </row>
    <row r="62">
      <c r="A62" s="29" t="s">
        <v>134</v>
      </c>
      <c r="B62" s="37" t="s">
        <v>132</v>
      </c>
      <c r="C62" s="30">
        <v>0.1002</v>
      </c>
      <c r="E62" s="29" t="s">
        <v>134</v>
      </c>
      <c r="F62" s="37" t="s">
        <v>132</v>
      </c>
      <c r="G62" s="30">
        <v>0.073700000000000002</v>
      </c>
      <c r="I62" s="29" t="s">
        <v>134</v>
      </c>
      <c r="J62" s="37" t="s">
        <v>132</v>
      </c>
      <c r="K62" s="30">
        <v>0.094100000000000003</v>
      </c>
    </row>
    <row r="63">
      <c r="A63" s="40" t="s">
        <v>135</v>
      </c>
      <c r="B63" s="41" t="s">
        <v>132</v>
      </c>
      <c r="C63" s="42">
        <v>0.25840000000000002</v>
      </c>
      <c r="E63" s="40" t="s">
        <v>135</v>
      </c>
      <c r="F63" s="41" t="s">
        <v>132</v>
      </c>
      <c r="G63" s="42">
        <v>0.23619999999999999</v>
      </c>
      <c r="I63" s="40" t="s">
        <v>135</v>
      </c>
      <c r="J63" s="41" t="s">
        <v>132</v>
      </c>
      <c r="K63" s="42">
        <v>0.2029</v>
      </c>
    </row>
    <row r="64">
      <c r="A64" s="43" t="s">
        <v>136</v>
      </c>
      <c r="B64" s="44" t="s">
        <v>132</v>
      </c>
      <c r="C64" s="45">
        <v>0.12529999999999999</v>
      </c>
      <c r="E64" s="43" t="s">
        <v>136</v>
      </c>
      <c r="F64" s="44" t="s">
        <v>132</v>
      </c>
      <c r="G64" s="45">
        <v>0.1323</v>
      </c>
      <c r="I64" s="43" t="s">
        <v>136</v>
      </c>
      <c r="J64" s="44" t="s">
        <v>132</v>
      </c>
      <c r="K64" s="45">
        <v>0.094600000000000004</v>
      </c>
    </row>
    <row r="65">
      <c r="A65" s="40" t="s">
        <v>137</v>
      </c>
      <c r="B65" s="46">
        <v>71971.720000000001</v>
      </c>
      <c r="C65" s="42">
        <f>B65/B52</f>
        <v>0.21528592230628321</v>
      </c>
      <c r="E65" s="40" t="s">
        <v>137</v>
      </c>
      <c r="F65" s="46">
        <v>190059.87</v>
      </c>
      <c r="G65" s="42">
        <f>F65/F52</f>
        <v>0.25799491228689597</v>
      </c>
      <c r="I65" s="40" t="s">
        <v>137</v>
      </c>
      <c r="J65" s="46">
        <v>86978.839999999997</v>
      </c>
      <c r="K65" s="42">
        <f>J65/J52</f>
        <v>0.27341418365838399</v>
      </c>
    </row>
    <row r="66">
      <c r="A66" s="43" t="s">
        <v>138</v>
      </c>
      <c r="B66" s="47">
        <v>250270.10000000001</v>
      </c>
      <c r="C66" s="45">
        <f>B66/B52</f>
        <v>0.74862222695505587</v>
      </c>
      <c r="E66" s="43" t="s">
        <v>138</v>
      </c>
      <c r="F66" s="47">
        <v>566941.62</v>
      </c>
      <c r="G66" s="45">
        <f>F66/F52</f>
        <v>0.76958935899351455</v>
      </c>
      <c r="I66" s="43" t="s">
        <v>138</v>
      </c>
      <c r="J66" s="47">
        <v>242677.81</v>
      </c>
      <c r="K66" s="45">
        <f>J66/J52</f>
        <v>0.76284709376618987</v>
      </c>
    </row>
    <row r="67">
      <c r="A67" s="40" t="s">
        <v>139</v>
      </c>
      <c r="B67" s="46">
        <v>47562.440000000002</v>
      </c>
      <c r="C67" s="42">
        <f>B67/B52</f>
        <v>0.14227148889226571</v>
      </c>
      <c r="E67" s="40" t="s">
        <v>139</v>
      </c>
      <c r="F67" s="46">
        <v>88851.570000000007</v>
      </c>
      <c r="G67" s="42">
        <f>F67/F52</f>
        <v>0.12061069498102361</v>
      </c>
      <c r="I67" s="40" t="s">
        <v>139</v>
      </c>
      <c r="J67" s="46">
        <v>53632.349999999999</v>
      </c>
      <c r="K67" s="42">
        <f>J67/J52</f>
        <v>0.16859094916569056</v>
      </c>
    </row>
    <row r="68">
      <c r="A68" s="43" t="s">
        <v>140</v>
      </c>
      <c r="B68" s="47">
        <v>16831.970000000001</v>
      </c>
      <c r="C68" s="45">
        <f>B68/B52</f>
        <v>0.05034875067153724</v>
      </c>
      <c r="E68" s="43" t="s">
        <v>140</v>
      </c>
      <c r="F68" s="47">
        <v>87254.440000000002</v>
      </c>
      <c r="G68" s="45">
        <f>F68/F52</f>
        <v>0.11844268647790945</v>
      </c>
      <c r="I68" s="43" t="s">
        <v>140</v>
      </c>
      <c r="J68" s="47">
        <v>24424.610000000001</v>
      </c>
      <c r="K68" s="45">
        <f>J68/J52</f>
        <v>0.076777694486663689</v>
      </c>
    </row>
    <row r="74" ht="16">
      <c r="A74" s="25" t="s">
        <v>108</v>
      </c>
      <c r="B74" s="25"/>
      <c r="C74" s="25"/>
      <c r="E74" s="25" t="s">
        <v>106</v>
      </c>
      <c r="F74" s="25"/>
      <c r="G74" s="25"/>
    </row>
    <row r="75">
      <c r="A75" s="26" t="s">
        <v>120</v>
      </c>
      <c r="B75" s="27" t="s">
        <v>121</v>
      </c>
      <c r="C75" s="28" t="s">
        <v>122</v>
      </c>
      <c r="E75" s="26" t="s">
        <v>120</v>
      </c>
      <c r="F75" s="27" t="s">
        <v>121</v>
      </c>
      <c r="G75" s="28" t="s">
        <v>122</v>
      </c>
    </row>
    <row r="76">
      <c r="A76" s="29" t="s">
        <v>123</v>
      </c>
      <c r="B76" s="1">
        <v>167938.51000000001</v>
      </c>
      <c r="C76" s="30"/>
      <c r="E76" s="29" t="s">
        <v>123</v>
      </c>
      <c r="F76" s="1">
        <v>551263.32999999996</v>
      </c>
      <c r="G76" s="30"/>
    </row>
    <row r="77">
      <c r="A77" s="31" t="s">
        <v>124</v>
      </c>
      <c r="B77" s="32">
        <v>118791.7</v>
      </c>
      <c r="C77" s="33">
        <f>B77/B76</f>
        <v>0.70735235176255873</v>
      </c>
      <c r="E77" s="31" t="s">
        <v>124</v>
      </c>
      <c r="F77" s="32">
        <v>401031.89000000001</v>
      </c>
      <c r="G77" s="33">
        <f>F77/F76</f>
        <v>0.72747790062509698</v>
      </c>
    </row>
    <row r="78">
      <c r="A78" s="29" t="s">
        <v>125</v>
      </c>
      <c r="B78" s="1">
        <v>120146.3</v>
      </c>
      <c r="C78" s="30">
        <f>B78/(B76+B78)</f>
        <v>0.41705183969956627</v>
      </c>
      <c r="E78" s="29" t="s">
        <v>125</v>
      </c>
      <c r="F78" s="1">
        <v>361921.90999999997</v>
      </c>
      <c r="G78" s="30">
        <f>F78/(F76+F78)</f>
        <v>0.39632912814052929</v>
      </c>
    </row>
    <row r="79">
      <c r="A79" s="31" t="s">
        <v>126</v>
      </c>
      <c r="B79" s="34">
        <v>9084</v>
      </c>
      <c r="C79" s="35"/>
      <c r="E79" s="31" t="s">
        <v>126</v>
      </c>
      <c r="F79" s="34">
        <v>25353.169999999998</v>
      </c>
      <c r="G79" s="35"/>
    </row>
    <row r="80">
      <c r="A80" s="29" t="s">
        <v>127</v>
      </c>
      <c r="B80" s="36">
        <v>3753.6700000000001</v>
      </c>
      <c r="C80" s="5"/>
      <c r="E80" s="29" t="s">
        <v>127</v>
      </c>
      <c r="F80" s="36">
        <v>8372.3299999999999</v>
      </c>
      <c r="G80" s="5"/>
    </row>
    <row r="81">
      <c r="A81" s="31" t="s">
        <v>128</v>
      </c>
      <c r="B81" s="32">
        <v>44.770000000000003</v>
      </c>
      <c r="C81" s="35"/>
      <c r="E81" s="31" t="s">
        <v>128</v>
      </c>
      <c r="F81" s="32">
        <v>65.799999999999997</v>
      </c>
      <c r="G81" s="35"/>
    </row>
    <row r="82">
      <c r="A82" s="29" t="s">
        <v>129</v>
      </c>
      <c r="B82" s="1">
        <v>-29974.18</v>
      </c>
      <c r="C82" s="30">
        <f>B82/B76</f>
        <v>-0.17848306502183447</v>
      </c>
      <c r="E82" s="29" t="s">
        <v>129</v>
      </c>
      <c r="F82" s="1">
        <v>7623.9399999999996</v>
      </c>
      <c r="G82" s="30">
        <f>F82/F76</f>
        <v>0.013829942216544678</v>
      </c>
    </row>
    <row r="83">
      <c r="A83" s="31" t="s">
        <v>130</v>
      </c>
      <c r="B83" s="32">
        <v>30686.599999999999</v>
      </c>
      <c r="C83" s="33">
        <f>B83/B76</f>
        <v>0.18272521293656827</v>
      </c>
      <c r="E83" s="31" t="s">
        <v>130</v>
      </c>
      <c r="F83" s="32">
        <v>130520.59</v>
      </c>
      <c r="G83" s="33">
        <f>F83/F76</f>
        <v>0.23676632000898737</v>
      </c>
    </row>
    <row r="84">
      <c r="A84" s="29" t="s">
        <v>131</v>
      </c>
      <c r="B84" s="37" t="s">
        <v>132</v>
      </c>
      <c r="C84" s="30">
        <v>0.35039999999999999</v>
      </c>
      <c r="E84" s="29" t="s">
        <v>131</v>
      </c>
      <c r="F84" s="37" t="s">
        <v>132</v>
      </c>
      <c r="G84" s="30">
        <v>0.44390000000000002</v>
      </c>
    </row>
    <row r="85">
      <c r="A85" s="31" t="s">
        <v>133</v>
      </c>
      <c r="B85" s="38" t="s">
        <v>132</v>
      </c>
      <c r="C85" s="33">
        <v>0.2359</v>
      </c>
      <c r="E85" s="31" t="s">
        <v>133</v>
      </c>
      <c r="F85" s="38" t="s">
        <v>132</v>
      </c>
      <c r="G85" s="33">
        <v>0.19570000000000001</v>
      </c>
    </row>
    <row r="86">
      <c r="A86" s="29" t="s">
        <v>134</v>
      </c>
      <c r="B86" s="37" t="s">
        <v>132</v>
      </c>
      <c r="C86" s="30">
        <v>0.098599999999999993</v>
      </c>
      <c r="E86" s="29" t="s">
        <v>134</v>
      </c>
      <c r="F86" s="37" t="s">
        <v>132</v>
      </c>
      <c r="G86" s="30">
        <v>0.069800000000000001</v>
      </c>
    </row>
    <row r="87">
      <c r="A87" s="40" t="s">
        <v>135</v>
      </c>
      <c r="B87" s="41" t="s">
        <v>132</v>
      </c>
      <c r="C87" s="42">
        <v>0.1971</v>
      </c>
      <c r="E87" s="40" t="s">
        <v>135</v>
      </c>
      <c r="F87" s="41" t="s">
        <v>132</v>
      </c>
      <c r="G87" s="42">
        <v>0.16719999999999999</v>
      </c>
    </row>
    <row r="88">
      <c r="A88" s="43" t="s">
        <v>136</v>
      </c>
      <c r="B88" s="44" t="s">
        <v>132</v>
      </c>
      <c r="C88" s="45">
        <v>0.1181</v>
      </c>
      <c r="E88" s="43" t="s">
        <v>136</v>
      </c>
      <c r="F88" s="44" t="s">
        <v>132</v>
      </c>
      <c r="G88" s="45">
        <v>0.1235</v>
      </c>
    </row>
    <row r="89">
      <c r="A89" s="40" t="s">
        <v>137</v>
      </c>
      <c r="B89" s="46">
        <v>66372.919999999998</v>
      </c>
      <c r="C89" s="42">
        <f>B89/B76</f>
        <v>0.39522156055808755</v>
      </c>
      <c r="E89" s="40" t="s">
        <v>137</v>
      </c>
      <c r="F89" s="46">
        <v>123505.91</v>
      </c>
      <c r="G89" s="42">
        <f>F89/F76</f>
        <v>0.22404158462707835</v>
      </c>
    </row>
    <row r="90">
      <c r="A90" s="43" t="s">
        <v>138</v>
      </c>
      <c r="B90" s="47">
        <v>137398.67999999999</v>
      </c>
      <c r="C90" s="45">
        <f>B90/B76</f>
        <v>0.81814873789222009</v>
      </c>
      <c r="E90" s="43" t="s">
        <v>138</v>
      </c>
      <c r="F90" s="47">
        <v>426506.15000000002</v>
      </c>
      <c r="G90" s="45">
        <f>F90/F76</f>
        <v>0.77368859270940449</v>
      </c>
    </row>
    <row r="91">
      <c r="A91" s="40" t="s">
        <v>139</v>
      </c>
      <c r="B91" s="46">
        <v>35958.82</v>
      </c>
      <c r="C91" s="42">
        <f>B91/B76</f>
        <v>0.21411896532844074</v>
      </c>
      <c r="E91" s="40" t="s">
        <v>139</v>
      </c>
      <c r="F91" s="46">
        <v>80048.369999999995</v>
      </c>
      <c r="G91" s="42">
        <f>F91/F76</f>
        <v>0.14520895122844468</v>
      </c>
    </row>
    <row r="92">
      <c r="A92" s="43" t="s">
        <v>140</v>
      </c>
      <c r="B92" s="47">
        <v>22317.529999999999</v>
      </c>
      <c r="C92" s="45">
        <f>B92/B76</f>
        <v>0.13289108019357798</v>
      </c>
      <c r="E92" s="43" t="s">
        <v>140</v>
      </c>
      <c r="F92" s="47">
        <v>35022.040000000001</v>
      </c>
      <c r="G92" s="45">
        <f>F92/F76</f>
        <v>0.063530509094446755</v>
      </c>
    </row>
  </sheetData>
  <mergeCells count="11">
    <mergeCell ref="A3:C3"/>
    <mergeCell ref="E3:G3"/>
    <mergeCell ref="I3:K3"/>
    <mergeCell ref="A26:C26"/>
    <mergeCell ref="E26:G26"/>
    <mergeCell ref="I26:K26"/>
    <mergeCell ref="A50:C50"/>
    <mergeCell ref="E50:G50"/>
    <mergeCell ref="I50:K50"/>
    <mergeCell ref="A74:C74"/>
    <mergeCell ref="E74:G74"/>
  </mergeCells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J8" activeCellId="0" sqref="J8"/>
    </sheetView>
  </sheetViews>
  <sheetFormatPr defaultRowHeight="14.5"/>
  <cols>
    <col bestFit="1" customWidth="1" min="1" max="1" width="17"/>
    <col bestFit="1" customWidth="1" min="2" max="2" width="19.453125"/>
  </cols>
  <sheetData>
    <row r="1">
      <c r="A1" s="48" t="s">
        <v>2</v>
      </c>
      <c r="B1" t="s">
        <v>141</v>
      </c>
    </row>
    <row r="3">
      <c r="A3" s="48" t="s">
        <v>111</v>
      </c>
      <c r="B3" t="s">
        <v>142</v>
      </c>
    </row>
    <row r="4">
      <c r="A4" s="21" t="s">
        <v>89</v>
      </c>
      <c r="B4" s="18">
        <v>50.787949602302724</v>
      </c>
    </row>
    <row r="5">
      <c r="A5" s="21" t="s">
        <v>94</v>
      </c>
      <c r="B5" s="18">
        <v>49.700139206795868</v>
      </c>
    </row>
    <row r="6">
      <c r="A6" s="21" t="s">
        <v>95</v>
      </c>
      <c r="B6" s="18">
        <v>51.235737870713614</v>
      </c>
    </row>
    <row r="7">
      <c r="A7" s="21" t="s">
        <v>96</v>
      </c>
      <c r="B7" s="18">
        <v>51.174024885150814</v>
      </c>
    </row>
    <row r="8">
      <c r="A8" s="21" t="s">
        <v>97</v>
      </c>
      <c r="B8" s="18">
        <v>51.576246782470889</v>
      </c>
    </row>
    <row r="9">
      <c r="A9" s="21" t="s">
        <v>98</v>
      </c>
      <c r="B9" s="18">
        <v>52.109618304181822</v>
      </c>
    </row>
    <row r="10">
      <c r="A10" s="21" t="s">
        <v>119</v>
      </c>
      <c r="B10" s="18">
        <v>51.097286108602624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A28" zoomScale="100" workbookViewId="0">
      <selection activeCell="C7" activeCellId="0" sqref="C7:D16"/>
    </sheetView>
  </sheetViews>
  <sheetFormatPr defaultRowHeight="14.5"/>
  <cols>
    <col bestFit="1" customWidth="1" min="1" max="1" width="17.7265625"/>
    <col bestFit="1" customWidth="1" min="2" max="2" width="25.6328125"/>
    <col customWidth="1" min="3" max="3" width="25.6328125"/>
    <col bestFit="1" customWidth="1" min="5" max="5" width="17.7265625"/>
    <col bestFit="1" customWidth="1" min="6" max="6" width="31.08984375"/>
  </cols>
  <sheetData>
    <row r="3">
      <c r="A3" s="49" t="s">
        <v>143</v>
      </c>
      <c r="B3" s="49"/>
      <c r="C3" s="49"/>
      <c r="E3" s="49" t="s">
        <v>144</v>
      </c>
      <c r="F3" s="49"/>
    </row>
    <row r="4">
      <c r="A4" s="49"/>
      <c r="B4" s="49"/>
      <c r="C4" s="49"/>
      <c r="E4" s="49"/>
      <c r="F4" s="49"/>
    </row>
    <row r="5">
      <c r="A5" s="48" t="s">
        <v>2</v>
      </c>
      <c r="B5" t="s">
        <v>141</v>
      </c>
      <c r="E5" s="48" t="s">
        <v>2</v>
      </c>
      <c r="F5" t="s">
        <v>141</v>
      </c>
    </row>
    <row r="7">
      <c r="A7" s="48" t="s">
        <v>111</v>
      </c>
      <c r="B7" t="s">
        <v>145</v>
      </c>
      <c r="C7" s="6"/>
      <c r="E7" s="48" t="s">
        <v>111</v>
      </c>
      <c r="F7" t="s">
        <v>146</v>
      </c>
    </row>
    <row r="8">
      <c r="A8" s="21" t="s">
        <v>89</v>
      </c>
      <c r="B8" s="3">
        <v>101301</v>
      </c>
      <c r="C8" s="3"/>
      <c r="E8" s="21" t="s">
        <v>89</v>
      </c>
      <c r="F8" s="3">
        <v>9209.181818181818</v>
      </c>
    </row>
    <row r="9">
      <c r="A9" s="21" t="s">
        <v>94</v>
      </c>
      <c r="B9" s="3">
        <v>103124</v>
      </c>
      <c r="C9" s="4"/>
      <c r="E9" s="21" t="s">
        <v>94</v>
      </c>
      <c r="F9" s="3">
        <v>9374.9090909090901</v>
      </c>
    </row>
    <row r="10">
      <c r="A10" s="21" t="s">
        <v>95</v>
      </c>
      <c r="B10" s="3">
        <v>104373</v>
      </c>
      <c r="C10" s="19"/>
      <c r="E10" s="21" t="s">
        <v>95</v>
      </c>
      <c r="F10" s="3">
        <v>9488.454545454546</v>
      </c>
    </row>
    <row r="11">
      <c r="A11" s="21" t="s">
        <v>96</v>
      </c>
      <c r="B11" s="3">
        <v>103693</v>
      </c>
      <c r="C11" s="4"/>
      <c r="E11" s="21" t="s">
        <v>96</v>
      </c>
      <c r="F11" s="3">
        <v>9426.636363636364</v>
      </c>
    </row>
    <row r="12">
      <c r="A12" s="21" t="s">
        <v>97</v>
      </c>
      <c r="B12" s="3">
        <v>95381</v>
      </c>
      <c r="C12" s="4"/>
      <c r="E12" s="21" t="s">
        <v>97</v>
      </c>
      <c r="F12" s="3">
        <v>8671</v>
      </c>
    </row>
    <row r="13">
      <c r="A13" s="21" t="s">
        <v>98</v>
      </c>
      <c r="B13" s="3">
        <v>96947</v>
      </c>
      <c r="C13" s="19"/>
      <c r="E13" s="21" t="s">
        <v>98</v>
      </c>
      <c r="F13" s="3">
        <v>8813.363636363636</v>
      </c>
    </row>
    <row r="14">
      <c r="A14" s="21" t="s">
        <v>119</v>
      </c>
      <c r="B14" s="3">
        <v>604819</v>
      </c>
      <c r="C14" s="3"/>
      <c r="E14" s="21" t="s">
        <v>119</v>
      </c>
      <c r="F14" s="3">
        <v>9163.924242424242</v>
      </c>
    </row>
    <row r="22">
      <c r="A22" s="49" t="s">
        <v>147</v>
      </c>
      <c r="B22" s="49"/>
      <c r="C22" s="49"/>
      <c r="E22" s="49" t="s">
        <v>148</v>
      </c>
      <c r="F22" s="49"/>
    </row>
    <row r="23">
      <c r="A23" s="49"/>
      <c r="B23" s="49"/>
      <c r="C23" s="49"/>
      <c r="E23" s="49"/>
      <c r="F23" s="49"/>
    </row>
    <row r="24">
      <c r="A24" s="48" t="s">
        <v>2</v>
      </c>
      <c r="B24" t="s">
        <v>141</v>
      </c>
      <c r="E24" s="48" t="s">
        <v>2</v>
      </c>
      <c r="F24" t="s">
        <v>141</v>
      </c>
    </row>
    <row r="26">
      <c r="A26" s="48" t="s">
        <v>111</v>
      </c>
      <c r="B26" t="s">
        <v>149</v>
      </c>
      <c r="E26" s="48" t="s">
        <v>111</v>
      </c>
      <c r="F26" t="s">
        <v>150</v>
      </c>
    </row>
    <row r="27">
      <c r="A27" s="21" t="s">
        <v>89</v>
      </c>
      <c r="B27" s="3">
        <v>275299</v>
      </c>
      <c r="C27" s="3"/>
      <c r="E27" s="21" t="s">
        <v>89</v>
      </c>
      <c r="F27" s="50">
        <v>2.6616936584901509</v>
      </c>
    </row>
    <row r="28">
      <c r="A28" s="21" t="s">
        <v>94</v>
      </c>
      <c r="B28" s="3">
        <v>282213</v>
      </c>
      <c r="C28" s="3"/>
      <c r="E28" s="21" t="s">
        <v>94</v>
      </c>
      <c r="F28" s="50">
        <v>2.685498914081963</v>
      </c>
    </row>
    <row r="29">
      <c r="A29" s="21" t="s">
        <v>95</v>
      </c>
      <c r="B29" s="3">
        <v>283514</v>
      </c>
      <c r="C29" s="3"/>
      <c r="E29" s="21" t="s">
        <v>95</v>
      </c>
      <c r="F29" s="50">
        <v>2.6559474633280877</v>
      </c>
    </row>
    <row r="30">
      <c r="A30" s="21" t="s">
        <v>96</v>
      </c>
      <c r="B30" s="3">
        <v>274444</v>
      </c>
      <c r="C30" s="3"/>
      <c r="E30" s="21" t="s">
        <v>96</v>
      </c>
      <c r="F30" s="50">
        <v>2.591257515977841</v>
      </c>
    </row>
    <row r="31">
      <c r="A31" s="21" t="s">
        <v>97</v>
      </c>
      <c r="B31" s="3">
        <v>254284</v>
      </c>
      <c r="C31" s="3"/>
      <c r="E31" s="21" t="s">
        <v>97</v>
      </c>
      <c r="F31" s="50">
        <v>2.6080473234002288</v>
      </c>
    </row>
    <row r="32">
      <c r="A32" s="21" t="s">
        <v>98</v>
      </c>
      <c r="B32" s="3">
        <v>257471</v>
      </c>
      <c r="C32" s="3"/>
      <c r="E32" s="21" t="s">
        <v>98</v>
      </c>
      <c r="F32" s="50">
        <v>2.5893491159119821</v>
      </c>
    </row>
    <row r="33">
      <c r="A33" s="21" t="s">
        <v>119</v>
      </c>
      <c r="B33" s="3">
        <v>1627225</v>
      </c>
      <c r="C33" s="3"/>
      <c r="E33" s="21" t="s">
        <v>119</v>
      </c>
      <c r="F33" s="50">
        <v>2.631965665198376</v>
      </c>
    </row>
  </sheetData>
  <mergeCells count="4">
    <mergeCell ref="A3:B4"/>
    <mergeCell ref="E3:F4"/>
    <mergeCell ref="A22:B23"/>
    <mergeCell ref="E22:F23"/>
  </mergeCells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G30" activeCellId="0" sqref="G30"/>
    </sheetView>
  </sheetViews>
  <sheetFormatPr defaultRowHeight="14.5"/>
  <cols>
    <col bestFit="1" customWidth="1" min="1" max="1" width="17.7265625"/>
    <col bestFit="1" customWidth="1" min="2" max="2" width="32.54296875"/>
    <col bestFit="1" customWidth="1" min="3" max="3" width="27.08984375"/>
    <col bestFit="1" customWidth="1" min="4" max="4" width="18.54296875"/>
  </cols>
  <sheetData>
    <row r="6">
      <c r="A6" s="48" t="s">
        <v>2</v>
      </c>
      <c r="B6" t="s">
        <v>141</v>
      </c>
    </row>
    <row r="8">
      <c r="A8" s="48" t="s">
        <v>111</v>
      </c>
      <c r="B8" t="s">
        <v>112</v>
      </c>
      <c r="C8" t="s">
        <v>151</v>
      </c>
      <c r="D8" s="51" t="s">
        <v>152</v>
      </c>
    </row>
    <row r="9">
      <c r="A9" s="21" t="s">
        <v>89</v>
      </c>
      <c r="B9" s="18">
        <v>5358624.0600000005</v>
      </c>
      <c r="C9">
        <v>184</v>
      </c>
      <c r="D9" s="1">
        <f t="shared" ref="D9:D14" si="10">GETPIVOTDATA("Soma de Total de Vendas Realizadas",$A$8,"Ano/Mês","2024/05")/GETPIVOTDATA("Soma de Nº de Colaboradores",$A$8,"Ano/Mês","2024/05")</f>
        <v>29122.956847826088</v>
      </c>
    </row>
    <row r="10">
      <c r="A10" s="21" t="s">
        <v>94</v>
      </c>
      <c r="B10" s="18">
        <v>5340866.8000000007</v>
      </c>
      <c r="C10">
        <v>191</v>
      </c>
      <c r="D10" s="1">
        <f t="shared" si="10"/>
        <v>29122.956847826088</v>
      </c>
    </row>
    <row r="11">
      <c r="A11" s="21" t="s">
        <v>95</v>
      </c>
      <c r="B11" s="18">
        <v>5565916.9399999995</v>
      </c>
      <c r="C11">
        <v>188</v>
      </c>
      <c r="D11" s="1">
        <f t="shared" si="10"/>
        <v>29122.956847826088</v>
      </c>
    </row>
    <row r="12">
      <c r="A12" s="21" t="s">
        <v>96</v>
      </c>
      <c r="B12" s="18">
        <v>5489006.8399999999</v>
      </c>
      <c r="C12">
        <v>185</v>
      </c>
      <c r="D12" s="1">
        <f t="shared" si="10"/>
        <v>29122.956847826088</v>
      </c>
    </row>
    <row r="13">
      <c r="A13" s="21" t="s">
        <v>97</v>
      </c>
      <c r="B13" s="18">
        <v>5113674.9700000007</v>
      </c>
      <c r="C13">
        <v>191</v>
      </c>
      <c r="D13" s="1">
        <f t="shared" si="10"/>
        <v>29122.956847826088</v>
      </c>
    </row>
    <row r="14">
      <c r="A14" s="21" t="s">
        <v>98</v>
      </c>
      <c r="B14" s="18">
        <v>5255020.5799999991</v>
      </c>
      <c r="C14">
        <v>185</v>
      </c>
      <c r="D14" s="1">
        <f t="shared" si="10"/>
        <v>29122.956847826088</v>
      </c>
    </row>
    <row r="15">
      <c r="A15" s="21" t="s">
        <v>119</v>
      </c>
      <c r="B15" s="18">
        <v>32123110.189999998</v>
      </c>
      <c r="C15">
        <v>1124</v>
      </c>
      <c r="D15" s="52">
        <f>GETPIVOTDATA("Soma de Total de Vendas Realizadas",$A$8)/GETPIVOTDATA("Soma de Nº de Colaboradores",$A$8)</f>
        <v>28579.279528469749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A4" zoomScale="100" workbookViewId="0">
      <selection activeCell="D21" activeCellId="0" sqref="D21"/>
    </sheetView>
  </sheetViews>
  <sheetFormatPr defaultRowHeight="14.5"/>
  <cols>
    <col bestFit="1" customWidth="1" min="1" max="1" width="17.7265625"/>
    <col bestFit="1" customWidth="1" min="2" max="2" width="36.36328125"/>
    <col bestFit="1" customWidth="1" min="3" max="3" width="35.1796875"/>
    <col bestFit="1" customWidth="1" min="4" max="4" width="35.7265625"/>
    <col bestFit="1" customWidth="1" min="5" max="5" width="40.6328125"/>
    <col bestFit="1" customWidth="1" min="6" max="6" width="34.36328125"/>
    <col bestFit="1" customWidth="1" min="7" max="7" width="4.81640625"/>
    <col bestFit="1" customWidth="1" min="8" max="8" width="10.1796875"/>
    <col bestFit="1" customWidth="1" min="9" max="64" width="19.36328125"/>
    <col bestFit="1" customWidth="1" min="65" max="65" width="10.1796875"/>
  </cols>
  <sheetData>
    <row r="6">
      <c r="A6" s="53" t="s">
        <v>153</v>
      </c>
      <c r="B6" s="53"/>
      <c r="C6" s="53"/>
      <c r="D6" s="53"/>
      <c r="E6" s="53"/>
      <c r="F6" s="53"/>
    </row>
    <row r="7">
      <c r="A7" s="53"/>
      <c r="B7" s="53"/>
      <c r="C7" s="53"/>
      <c r="D7" s="53"/>
      <c r="E7" s="53"/>
      <c r="F7" s="53"/>
    </row>
    <row r="8">
      <c r="A8" s="48" t="s">
        <v>111</v>
      </c>
      <c r="B8" t="s">
        <v>154</v>
      </c>
      <c r="C8" t="s">
        <v>155</v>
      </c>
      <c r="D8" t="s">
        <v>156</v>
      </c>
      <c r="E8" t="s">
        <v>157</v>
      </c>
      <c r="F8" t="s">
        <v>158</v>
      </c>
    </row>
    <row r="9">
      <c r="A9" s="21" t="s">
        <v>89</v>
      </c>
      <c r="B9" s="54">
        <v>1753.4545454545455</v>
      </c>
      <c r="C9" s="54">
        <v>828.63636363636363</v>
      </c>
      <c r="D9" s="54">
        <v>3473.3636363636365</v>
      </c>
      <c r="E9" s="54">
        <v>1203.2727272727273</v>
      </c>
      <c r="F9" s="54">
        <v>311.27272727272725</v>
      </c>
    </row>
    <row r="10">
      <c r="A10" s="21" t="s">
        <v>94</v>
      </c>
      <c r="B10" s="54">
        <v>1767.090909090909</v>
      </c>
      <c r="C10" s="54">
        <v>852.27272727272725</v>
      </c>
      <c r="D10" s="54">
        <v>3529.818181818182</v>
      </c>
      <c r="E10" s="54">
        <v>1220.4545454545455</v>
      </c>
      <c r="F10" s="54">
        <v>327.36363636363637</v>
      </c>
    </row>
    <row r="11">
      <c r="A11" s="21" t="s">
        <v>95</v>
      </c>
      <c r="B11" s="54">
        <v>1820.909090909091</v>
      </c>
      <c r="C11" s="54">
        <v>869.72727272727275</v>
      </c>
      <c r="D11" s="54">
        <v>3412.090909090909</v>
      </c>
      <c r="E11" s="54">
        <v>1164.5454545454545</v>
      </c>
      <c r="F11" s="54">
        <v>326.36363636363637</v>
      </c>
    </row>
    <row r="12">
      <c r="A12" s="21" t="s">
        <v>96</v>
      </c>
      <c r="B12" s="54">
        <v>1821</v>
      </c>
      <c r="C12" s="54">
        <v>853.63636363636363</v>
      </c>
      <c r="D12" s="54">
        <v>3378.181818181818</v>
      </c>
      <c r="E12" s="54">
        <v>1112.4545454545455</v>
      </c>
      <c r="F12" s="54">
        <v>307.54545454545456</v>
      </c>
    </row>
    <row r="13">
      <c r="A13" s="21" t="s">
        <v>97</v>
      </c>
      <c r="B13" s="54">
        <v>1772.1818181818182</v>
      </c>
      <c r="C13" s="54">
        <v>830</v>
      </c>
      <c r="D13" s="54">
        <v>3235.6363636363635</v>
      </c>
      <c r="E13" s="54">
        <v>1135.7272727272727</v>
      </c>
      <c r="F13" s="54">
        <v>309.09090909090907</v>
      </c>
    </row>
    <row r="14">
      <c r="A14" s="21" t="s">
        <v>98</v>
      </c>
      <c r="B14" s="54">
        <v>1762.909090909091</v>
      </c>
      <c r="C14" s="54">
        <v>866.27272727272725</v>
      </c>
      <c r="D14" s="54">
        <v>3225.4545454545455</v>
      </c>
      <c r="E14" s="54">
        <v>1160.2727272727273</v>
      </c>
      <c r="F14" s="54">
        <v>399.72727272727275</v>
      </c>
    </row>
    <row r="15">
      <c r="A15" s="21" t="s">
        <v>119</v>
      </c>
      <c r="B15" s="54">
        <v>1782.9242424242425</v>
      </c>
      <c r="C15" s="54">
        <v>850.09090909090912</v>
      </c>
      <c r="D15" s="54">
        <v>3375.757575757576</v>
      </c>
      <c r="E15" s="54">
        <v>1166.121212121212</v>
      </c>
      <c r="F15" s="54">
        <v>330.22727272727275</v>
      </c>
    </row>
    <row r="22">
      <c r="A22" s="55" t="s">
        <v>159</v>
      </c>
      <c r="B22" s="55"/>
      <c r="C22" s="55"/>
      <c r="D22" s="55"/>
      <c r="E22" s="55"/>
      <c r="F22" s="55"/>
    </row>
    <row r="23">
      <c r="A23" s="55"/>
      <c r="B23" s="55"/>
      <c r="C23" s="55"/>
      <c r="D23" s="55"/>
      <c r="E23" s="55"/>
      <c r="F23" s="55"/>
    </row>
    <row r="24">
      <c r="A24" s="48" t="s">
        <v>2</v>
      </c>
      <c r="B24" t="s">
        <v>109</v>
      </c>
    </row>
    <row r="26">
      <c r="A26" s="48" t="s">
        <v>111</v>
      </c>
      <c r="B26" t="s">
        <v>160</v>
      </c>
      <c r="C26" t="s">
        <v>161</v>
      </c>
      <c r="D26" t="s">
        <v>162</v>
      </c>
      <c r="E26" t="s">
        <v>163</v>
      </c>
      <c r="F26" t="s">
        <v>164</v>
      </c>
    </row>
    <row r="27">
      <c r="A27" s="21" t="s">
        <v>89</v>
      </c>
      <c r="B27" s="54">
        <v>2485</v>
      </c>
      <c r="C27" s="54">
        <v>917</v>
      </c>
      <c r="D27" s="54">
        <v>4563</v>
      </c>
      <c r="E27" s="54">
        <v>1442</v>
      </c>
      <c r="F27" s="54">
        <v>333</v>
      </c>
    </row>
    <row r="28">
      <c r="A28" s="21" t="s">
        <v>94</v>
      </c>
      <c r="B28" s="54">
        <v>2524</v>
      </c>
      <c r="C28" s="54">
        <v>949</v>
      </c>
      <c r="D28" s="54">
        <v>4748</v>
      </c>
      <c r="E28" s="54">
        <v>1522</v>
      </c>
      <c r="F28" s="54">
        <v>353</v>
      </c>
    </row>
    <row r="29">
      <c r="A29" s="21" t="s">
        <v>95</v>
      </c>
      <c r="B29" s="54">
        <v>2515</v>
      </c>
      <c r="C29" s="54">
        <v>952</v>
      </c>
      <c r="D29" s="54">
        <v>4703</v>
      </c>
      <c r="E29" s="54">
        <v>1468</v>
      </c>
      <c r="F29" s="54">
        <v>355</v>
      </c>
    </row>
    <row r="30">
      <c r="A30" s="21" t="s">
        <v>96</v>
      </c>
      <c r="B30" s="54">
        <v>2561</v>
      </c>
      <c r="C30" s="54">
        <v>951</v>
      </c>
      <c r="D30" s="54">
        <v>4803</v>
      </c>
      <c r="E30" s="54">
        <v>1531</v>
      </c>
      <c r="F30" s="54">
        <v>346</v>
      </c>
    </row>
    <row r="31">
      <c r="A31" s="21" t="s">
        <v>97</v>
      </c>
      <c r="B31" s="54">
        <v>2542</v>
      </c>
      <c r="C31" s="54">
        <v>919</v>
      </c>
      <c r="D31" s="54">
        <v>4583</v>
      </c>
      <c r="E31" s="54">
        <v>1504</v>
      </c>
      <c r="F31" s="54">
        <v>348</v>
      </c>
    </row>
    <row r="32">
      <c r="A32" s="21" t="s">
        <v>98</v>
      </c>
      <c r="B32" s="54">
        <v>2511</v>
      </c>
      <c r="C32" s="54">
        <v>967</v>
      </c>
      <c r="D32" s="54">
        <v>4786</v>
      </c>
      <c r="E32" s="54">
        <v>1663</v>
      </c>
      <c r="F32" s="54">
        <v>351</v>
      </c>
    </row>
    <row r="33">
      <c r="A33" s="21" t="s">
        <v>119</v>
      </c>
      <c r="B33" s="54">
        <v>15138</v>
      </c>
      <c r="C33" s="54">
        <v>5655</v>
      </c>
      <c r="D33" s="54">
        <v>28186</v>
      </c>
      <c r="E33" s="54">
        <v>9130</v>
      </c>
      <c r="F33" s="54">
        <v>2086</v>
      </c>
    </row>
  </sheetData>
  <mergeCells count="2">
    <mergeCell ref="A6:F7"/>
    <mergeCell ref="A22:F23"/>
  </mergeCells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C17" activeCellId="0" sqref="C17"/>
    </sheetView>
  </sheetViews>
  <sheetFormatPr defaultRowHeight="14.5"/>
  <cols>
    <col bestFit="1" customWidth="1" min="1" max="1" width="17.7265625"/>
    <col bestFit="1" customWidth="1" min="2" max="2" width="32.54296875"/>
    <col bestFit="1" customWidth="1" min="3" max="3" width="22.08984375"/>
    <col bestFit="1" customWidth="1" min="4" max="4" width="29.81640625"/>
  </cols>
  <sheetData>
    <row r="4">
      <c r="A4" s="48" t="s">
        <v>2</v>
      </c>
      <c r="B4" t="s">
        <v>141</v>
      </c>
    </row>
    <row r="6">
      <c r="A6" s="48" t="s">
        <v>111</v>
      </c>
      <c r="B6" t="s">
        <v>112</v>
      </c>
      <c r="C6" t="s">
        <v>165</v>
      </c>
      <c r="D6" s="51" t="s">
        <v>166</v>
      </c>
    </row>
    <row r="7">
      <c r="A7" s="21" t="s">
        <v>89</v>
      </c>
      <c r="B7" s="18">
        <v>5358624.0600000005</v>
      </c>
      <c r="C7" s="18">
        <v>197844.40999999997</v>
      </c>
      <c r="D7" s="5">
        <f>GETPIVOTDATA("Soma de Venda Delivery",$A$6,"Ano/Mês","2024/05")/GETPIVOTDATA("Soma de Total de Vendas Realizadas",$A$6,"Ano/Mês","2024/05")</f>
        <v>0.036920748271338885</v>
      </c>
    </row>
    <row r="8">
      <c r="A8" s="21" t="s">
        <v>94</v>
      </c>
      <c r="B8" s="18">
        <v>5340866.8000000007</v>
      </c>
      <c r="C8" s="18">
        <v>194842.56</v>
      </c>
      <c r="D8" s="5">
        <f>GETPIVOTDATA("Soma de Venda Delivery",$A$6,"Ano/Mês","2024/06")/GETPIVOTDATA("Soma de Total de Vendas Realizadas",$A$6,"Ano/Mês","2024/06")</f>
        <v>0.036481449041193083</v>
      </c>
    </row>
    <row r="9">
      <c r="A9" s="21" t="s">
        <v>95</v>
      </c>
      <c r="B9" s="18">
        <v>5565916.9399999995</v>
      </c>
      <c r="C9" s="18">
        <v>258826.84</v>
      </c>
      <c r="D9" s="5">
        <f>GETPIVOTDATA("Soma de Venda Delivery",$A$6,"Ano/Mês","2024/07")/GETPIVOTDATA("Soma de Total de Vendas Realizadas",$A$6,"Ano/Mês","2024/07")</f>
        <v>0.046502102490950936</v>
      </c>
    </row>
    <row r="10">
      <c r="A10" s="21" t="s">
        <v>96</v>
      </c>
      <c r="B10" s="18">
        <v>5489006.8399999999</v>
      </c>
      <c r="C10" s="18">
        <v>254164.66999999998</v>
      </c>
      <c r="D10" s="5">
        <f>GETPIVOTDATA("Soma de Venda Delivery",$A$6,"Ano/Mês","2024/08")/GETPIVOTDATA("Soma de Total de Vendas Realizadas",$A$6,"Ano/Mês","2024/08")</f>
        <v>0.046304309214524497</v>
      </c>
    </row>
    <row r="11">
      <c r="A11" s="21" t="s">
        <v>97</v>
      </c>
      <c r="B11" s="18">
        <v>5113674.9700000007</v>
      </c>
      <c r="C11" s="18">
        <v>247221.07000000001</v>
      </c>
      <c r="D11" s="5">
        <f>GETPIVOTDATA("Soma de Venda Delivery",$A$6,"Ano/Mês","2024/09")/GETPIVOTDATA("Soma de Total de Vendas Realizadas",$A$6,"Ano/Mês","2024/09")</f>
        <v>0.048345088698509904</v>
      </c>
    </row>
    <row r="12">
      <c r="A12" s="21" t="s">
        <v>98</v>
      </c>
      <c r="B12" s="18">
        <v>5255020.5799999991</v>
      </c>
      <c r="C12" s="18">
        <v>282994.22999999998</v>
      </c>
      <c r="D12" s="5">
        <f>GETPIVOTDATA("Soma de Venda Delivery",$A$6,"Ano/Mês","2024/10")/GETPIVOTDATA("Soma de Total de Vendas Realizadas",$A$6,"Ano/Mês","2024/10")</f>
        <v>0.053852163981439639</v>
      </c>
    </row>
    <row r="13">
      <c r="A13" s="21" t="s">
        <v>119</v>
      </c>
      <c r="B13" s="18">
        <v>32123110.189999998</v>
      </c>
      <c r="C13" s="18">
        <v>1435893.78</v>
      </c>
      <c r="D13" s="56">
        <f>GETPIVOTDATA("Soma de Venda Delivery",$A$6)/GETPIVOTDATA("Soma de Total de Vendas Realizadas",$A$6)</f>
        <v>0.04469971218562134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A4" zoomScale="100" workbookViewId="0">
      <selection activeCell="C18" activeCellId="0" sqref="C18"/>
    </sheetView>
  </sheetViews>
  <sheetFormatPr defaultRowHeight="14.5"/>
  <cols>
    <col bestFit="1" customWidth="1" min="1" max="1" width="32.7265625"/>
    <col bestFit="1" customWidth="1" min="2" max="2" width="32.54296875"/>
    <col bestFit="1" customWidth="1" min="3" max="3" width="51.26953125"/>
    <col customWidth="1" min="4" max="4" width="32.54296875"/>
  </cols>
  <sheetData>
    <row r="2">
      <c r="A2" s="48" t="s">
        <v>2</v>
      </c>
      <c r="B2" t="s">
        <v>141</v>
      </c>
    </row>
    <row r="4">
      <c r="A4" s="48" t="s">
        <v>111</v>
      </c>
      <c r="B4" t="s">
        <v>112</v>
      </c>
      <c r="C4" t="s">
        <v>167</v>
      </c>
      <c r="D4" s="51" t="s">
        <v>168</v>
      </c>
    </row>
    <row r="5">
      <c r="A5" s="21" t="s">
        <v>89</v>
      </c>
      <c r="B5" s="18">
        <v>5358624.0600000005</v>
      </c>
      <c r="C5" s="18">
        <v>1800946.9200000004</v>
      </c>
      <c r="D5" s="5">
        <f>GETPIVOTDATA("Soma de Faturamento em R$ - Medicamentos Propagados",$A$4,"Ano/Mês","2024/05")/GETPIVOTDATA("Soma de Total de Vendas Realizadas",$A$4,"Ano/Mês","2024/05")</f>
        <v>0.33608383417738774</v>
      </c>
    </row>
    <row r="6">
      <c r="A6" s="21" t="s">
        <v>94</v>
      </c>
      <c r="B6" s="18">
        <v>5340866.8000000007</v>
      </c>
      <c r="C6" s="18">
        <v>1698486.1300000001</v>
      </c>
      <c r="D6" s="5">
        <f>GETPIVOTDATA("Soma de Faturamento em R$ - Medicamentos Propagados",$A$4,"Ano/Mês","2024/06")/GETPIVOTDATA("Soma de Total de Vendas Realizadas",$A$4,"Ano/Mês","2024/06")</f>
        <v>0.31801694249330464</v>
      </c>
    </row>
    <row r="7">
      <c r="A7" s="21" t="s">
        <v>95</v>
      </c>
      <c r="B7" s="18">
        <v>5565916.9399999995</v>
      </c>
      <c r="C7" s="18">
        <v>1817812.8500000001</v>
      </c>
      <c r="D7" s="5">
        <f>GETPIVOTDATA("Soma de Faturamento em R$ - Medicamentos Propagados",$A$4,"Ano/Mês","2024/07")/GETPIVOTDATA("Soma de Total de Vendas Realizadas",$A$4,"Ano/Mês","2024/07")</f>
        <v>0.32659719316616326</v>
      </c>
    </row>
    <row r="8">
      <c r="A8" s="21" t="s">
        <v>96</v>
      </c>
      <c r="B8" s="18">
        <v>5489006.8399999999</v>
      </c>
      <c r="C8" s="18">
        <v>1827767.0600000003</v>
      </c>
      <c r="D8" s="5">
        <f>GETPIVOTDATA("Soma de Faturamento em R$ - Medicamentos Propagados",$A$4,"Ano/Mês","2024/08")/GETPIVOTDATA("Soma de Total de Vendas Realizadas",$A$4,"Ano/Mês","2024/08")</f>
        <v>0.33298684320823335</v>
      </c>
    </row>
    <row r="9">
      <c r="A9" s="21" t="s">
        <v>97</v>
      </c>
      <c r="B9" s="18">
        <v>5113674.9700000007</v>
      </c>
      <c r="C9" s="18">
        <v>1648579.6499999999</v>
      </c>
      <c r="D9" s="5">
        <f>GETPIVOTDATA("Soma de Faturamento em R$ - Medicamentos Propagados",$A$4,"Ano/Mês","2024/09")/GETPIVOTDATA("Soma de Total de Vendas Realizadas",$A$4,"Ano/Mês","2024/09")</f>
        <v>0.32238647541574189</v>
      </c>
    </row>
    <row r="10">
      <c r="A10" s="21" t="s">
        <v>98</v>
      </c>
      <c r="B10" s="18">
        <v>5255020.5799999991</v>
      </c>
      <c r="C10" s="18">
        <v>1715179.0599999998</v>
      </c>
      <c r="D10" s="5">
        <f>GETPIVOTDATA("Soma de Faturamento em R$ - Medicamentos Propagados",$A$4,"Ano/Mês","2024/10")/GETPIVOTDATA("Soma de Total de Vendas Realizadas",$A$4,"Ano/Mês","2024/10")</f>
        <v>0.32638864755882652</v>
      </c>
    </row>
    <row r="11">
      <c r="A11" s="21" t="s">
        <v>119</v>
      </c>
      <c r="B11" s="18">
        <v>32123110.189999998</v>
      </c>
      <c r="C11" s="18">
        <v>10508771.670000002</v>
      </c>
      <c r="D11" s="56">
        <f>GETPIVOTDATA("Soma de Faturamento em R$ - Medicamentos Propagados",$A$4)/GETPIVOTDATA("Soma de Total de Vendas Realizadas",$A$4)</f>
        <v>0.32714054174216939</v>
      </c>
    </row>
    <row r="15">
      <c r="A15" s="48" t="s">
        <v>2</v>
      </c>
      <c r="B15" t="s">
        <v>141</v>
      </c>
    </row>
    <row r="17">
      <c r="A17" s="48" t="s">
        <v>111</v>
      </c>
      <c r="B17" t="s">
        <v>112</v>
      </c>
      <c r="C17" t="s">
        <v>169</v>
      </c>
      <c r="D17" s="51" t="s">
        <v>168</v>
      </c>
    </row>
    <row r="18">
      <c r="A18" s="21" t="s">
        <v>89</v>
      </c>
      <c r="B18" s="18">
        <v>5358624.0600000005</v>
      </c>
      <c r="C18" s="18">
        <v>999862.82000000007</v>
      </c>
      <c r="D18" s="5">
        <f>GETPIVOTDATA("Soma de Faturamento em R$ - Medicamentos Genéricos",$A$17,"Ano/Mês","2024/05")/GETPIVOTDATA("Soma de Total de Vendas Realizadas",$A$17,"Ano/Mês","2024/05")</f>
        <v>0.18658946938703513</v>
      </c>
    </row>
    <row r="19">
      <c r="A19" s="21" t="s">
        <v>94</v>
      </c>
      <c r="B19" s="18">
        <v>5340866.8000000007</v>
      </c>
      <c r="C19" s="18">
        <v>990355.89000000013</v>
      </c>
      <c r="D19" s="5">
        <f>GETPIVOTDATA("Soma de Faturamento em R$ - Medicamentos Genéricos",$A$17,"Ano/Mês","2024/06")/GETPIVOTDATA("Soma de Total de Vendas Realizadas",$A$17,"Ano/Mês","2024/06")</f>
        <v>0.18542980513949534</v>
      </c>
    </row>
    <row r="20">
      <c r="A20" s="21" t="s">
        <v>95</v>
      </c>
      <c r="B20" s="18">
        <v>5565916.9399999995</v>
      </c>
      <c r="C20" s="18">
        <v>1060006.9199999999</v>
      </c>
      <c r="D20" s="5">
        <f>GETPIVOTDATA("Soma de Faturamento em R$ - Medicamentos Genéricos",$A$17,"Ano/Mês","2024/07")/GETPIVOTDATA("Soma de Total de Vendas Realizadas",$A$17,"Ano/Mês","2024/07")</f>
        <v>0.19044605433871242</v>
      </c>
    </row>
    <row r="21">
      <c r="A21" s="21" t="s">
        <v>96</v>
      </c>
      <c r="B21" s="18">
        <v>5489006.8399999999</v>
      </c>
      <c r="C21" s="18">
        <v>1024707.8500000001</v>
      </c>
      <c r="D21" s="5">
        <f>GETPIVOTDATA("Soma de Faturamento em R$ - Medicamentos Genéricos",$A$17,"Ano/Mês","2024/08")/GETPIVOTDATA("Soma de Total de Vendas Realizadas",$A$17,"Ano/Mês","2024/08")</f>
        <v>0.18668365332188219</v>
      </c>
    </row>
    <row r="22">
      <c r="A22" s="21" t="s">
        <v>97</v>
      </c>
      <c r="B22" s="18">
        <v>5113674.9700000007</v>
      </c>
      <c r="C22" s="18">
        <v>977098.90000000002</v>
      </c>
      <c r="D22" s="5">
        <f>GETPIVOTDATA("Soma de Faturamento em R$ - Medicamentos Genéricos",$A$17,"Ano/Mês","2024/09")/GETPIVOTDATA("Soma de Total de Vendas Realizadas",$A$17,"Ano/Mês","2024/09")</f>
        <v>0.19107567566031672</v>
      </c>
    </row>
    <row r="23">
      <c r="A23" s="21" t="s">
        <v>98</v>
      </c>
      <c r="B23" s="18">
        <v>5255020.5799999991</v>
      </c>
      <c r="C23" s="18">
        <v>1023607.6099999998</v>
      </c>
      <c r="D23" s="5">
        <f>GETPIVOTDATA("Soma de Faturamento em R$ - Medicamentos Genéricos",$A$17,"Ano/Mês","2024/10")/GETPIVOTDATA("Soma de Total de Vendas Realizadas",$A$17,"Ano/Mês","2024/10")</f>
        <v>0.19478660348081833</v>
      </c>
    </row>
    <row r="24">
      <c r="A24" s="21" t="s">
        <v>119</v>
      </c>
      <c r="B24" s="18">
        <v>32123110.189999998</v>
      </c>
      <c r="C24" s="18">
        <v>6075639.9899999993</v>
      </c>
      <c r="D24" s="56">
        <f>GETPIVOTDATA("Soma de Faturamento em R$ - Medicamentos Genéricos",$A$17)/GETPIVOTDATA("Soma de Total de Vendas Realizadas",$A$17)</f>
        <v>0.18913610649977974</v>
      </c>
    </row>
    <row r="28">
      <c r="A28" s="48" t="s">
        <v>2</v>
      </c>
      <c r="B28" t="s">
        <v>141</v>
      </c>
    </row>
    <row r="30">
      <c r="A30" s="48" t="s">
        <v>111</v>
      </c>
      <c r="B30" t="s">
        <v>112</v>
      </c>
      <c r="C30" t="s">
        <v>170</v>
      </c>
      <c r="D30" s="51" t="s">
        <v>168</v>
      </c>
    </row>
    <row r="31">
      <c r="A31" s="21" t="s">
        <v>89</v>
      </c>
      <c r="B31" s="18">
        <v>5358624.0600000005</v>
      </c>
      <c r="C31" s="18">
        <v>389157.01999999996</v>
      </c>
      <c r="D31" s="5">
        <f>GETPIVOTDATA("Soma de Faturamento em R$ - Medicamentos Similares",$A$30,"Ano/Mês","2024/05")/GETPIVOTDATA("Soma de Total de Vendas Realizadas",$A$30,"Ano/Mês","2024/05")</f>
        <v>0.072622564233401354</v>
      </c>
    </row>
    <row r="32">
      <c r="A32" s="21" t="s">
        <v>94</v>
      </c>
      <c r="B32" s="18">
        <v>5340866.8000000007</v>
      </c>
      <c r="C32" s="18">
        <v>438114.32999999996</v>
      </c>
      <c r="D32" s="5">
        <f>GETPIVOTDATA("Soma de Faturamento em R$ - Medicamentos Similares",$A$30,"Ano/Mês","2024/06")/GETPIVOTDATA("Soma de Total de Vendas Realizadas",$A$30,"Ano/Mês","2024/06")</f>
        <v>0.082030566648844325</v>
      </c>
    </row>
    <row r="33">
      <c r="A33" s="21" t="s">
        <v>95</v>
      </c>
      <c r="B33" s="18">
        <v>5565916.9399999995</v>
      </c>
      <c r="C33" s="18">
        <v>430902.87</v>
      </c>
      <c r="D33" s="5">
        <f>GETPIVOTDATA("Soma de Faturamento em R$ - Medicamentos Similares",$A$30,"Ano/Mês","2024/07")/GETPIVOTDATA("Soma de Total de Vendas Realizadas",$A$30,"Ano/Mês","2024/07")</f>
        <v>0.077418127982341045</v>
      </c>
    </row>
    <row r="34">
      <c r="A34" s="21" t="s">
        <v>96</v>
      </c>
      <c r="B34" s="18">
        <v>5489006.8399999999</v>
      </c>
      <c r="C34" s="18">
        <v>437126.31999999995</v>
      </c>
      <c r="D34" s="5">
        <f>GETPIVOTDATA("Soma de Faturamento em R$ - Medicamentos Similares",$A$30,"Ano/Mês","2024/08")/GETPIVOTDATA("Soma de Total de Vendas Realizadas",$A$30,"Ano/Mês","2024/08")</f>
        <v>0.079636687062317441</v>
      </c>
    </row>
    <row r="35">
      <c r="A35" s="21" t="s">
        <v>97</v>
      </c>
      <c r="B35" s="18">
        <v>5113674.9700000007</v>
      </c>
      <c r="C35" s="18">
        <v>396066.55000000005</v>
      </c>
      <c r="D35" s="5">
        <f>GETPIVOTDATA("Soma de Faturamento em R$ - Medicamentos Similares",$A$30,"Ano/Mês","2024/09")/GETPIVOTDATA("Soma de Total de Vendas Realizadas",$A$30,"Ano/Mês","2024/09")</f>
        <v>0.077452429480475954</v>
      </c>
    </row>
    <row r="36">
      <c r="A36" s="21" t="s">
        <v>98</v>
      </c>
      <c r="B36" s="18">
        <v>5255020.5799999991</v>
      </c>
      <c r="C36" s="18">
        <v>382118.92000000004</v>
      </c>
      <c r="D36" s="5">
        <f>GETPIVOTDATA("Soma de Faturamento em R$ - Medicamentos Similares",$A$30,"Ano/Mês","2024/10")/GETPIVOTDATA("Soma de Total de Vendas Realizadas",$A$30,"Ano/Mês","2024/10")</f>
        <v>0.072715018748794338</v>
      </c>
    </row>
    <row r="37">
      <c r="A37" s="21" t="s">
        <v>119</v>
      </c>
      <c r="B37" s="18">
        <v>32123110.189999998</v>
      </c>
      <c r="C37" s="18">
        <v>2473486.0099999998</v>
      </c>
      <c r="D37" s="56">
        <f>GETPIVOTDATA("Soma de Faturamento em R$ - Medicamentos Similares",$A$30)/GETPIVOTDATA("Soma de Total de Vendas Realizadas",$A$30)</f>
        <v>0.077000203136307829</v>
      </c>
    </row>
    <row r="42">
      <c r="C42" s="57" t="s">
        <v>171</v>
      </c>
      <c r="D42" s="57"/>
      <c r="E42" s="57"/>
      <c r="F42" s="57"/>
      <c r="G42" s="57"/>
    </row>
    <row r="43">
      <c r="A43" s="58" t="s">
        <v>172</v>
      </c>
      <c r="B43" s="59">
        <f>SUM(C37,C24,C11)</f>
        <v>19057897.670000002</v>
      </c>
      <c r="C43" s="60">
        <f>B43/GETPIVOTDATA("Soma de Total de Vendas Realizadas",$A$30)</f>
        <v>0.59327685137825703</v>
      </c>
      <c r="D43" s="60"/>
      <c r="E43" s="60"/>
      <c r="F43" s="60"/>
      <c r="G43" s="60"/>
    </row>
    <row r="44">
      <c r="C44" s="58" t="s">
        <v>173</v>
      </c>
      <c r="D44" s="58"/>
      <c r="E44" s="58"/>
      <c r="F44" s="58"/>
      <c r="G44" s="58"/>
    </row>
    <row r="45">
      <c r="C45" s="29" t="s">
        <v>174</v>
      </c>
      <c r="D45" s="4">
        <f>GETPIVOTDATA("Soma de Faturamento em R$ - Medicamentos Propagados",$A$4)/B43</f>
        <v>0.55141295498413712</v>
      </c>
    </row>
    <row r="46">
      <c r="C46" s="29" t="s">
        <v>175</v>
      </c>
      <c r="D46" s="4">
        <f>GETPIVOTDATA("Soma de Faturamento em R$ - Medicamentos Genéricos",$A$17)/B43</f>
        <v>0.31879906667585745</v>
      </c>
    </row>
    <row r="47">
      <c r="C47" s="29" t="s">
        <v>176</v>
      </c>
      <c r="D47" s="4">
        <f>GETPIVOTDATA("Soma de Faturamento em R$ - Medicamentos Similares",$A$30)/B43</f>
        <v>0.12978797834000541</v>
      </c>
    </row>
    <row r="52">
      <c r="A52" s="48" t="s">
        <v>2</v>
      </c>
      <c r="B52" t="s">
        <v>141</v>
      </c>
    </row>
    <row r="54">
      <c r="A54" s="48" t="s">
        <v>111</v>
      </c>
      <c r="B54" t="s">
        <v>112</v>
      </c>
      <c r="C54" t="s">
        <v>177</v>
      </c>
      <c r="D54" s="51" t="s">
        <v>168</v>
      </c>
    </row>
    <row r="55">
      <c r="A55" s="21" t="s">
        <v>89</v>
      </c>
      <c r="B55" s="18">
        <v>5358624.0600000005</v>
      </c>
      <c r="C55" s="18">
        <v>1089362.79</v>
      </c>
      <c r="D55" s="5">
        <f>GETPIVOTDATA("Soma de Faturamento em R$ - Perfumaria",$A$54,"Ano/Mês","2024/05")/GETPIVOTDATA("Soma de Total de Vendas Realizadas",$A$54,"Ano/Mês","2024/05")</f>
        <v>0.20329151248576299</v>
      </c>
    </row>
    <row r="56">
      <c r="A56" s="21" t="s">
        <v>94</v>
      </c>
      <c r="B56" s="18">
        <v>5340866.8000000007</v>
      </c>
      <c r="C56" s="18">
        <v>1106913.9399999999</v>
      </c>
      <c r="D56" s="5">
        <f>GETPIVOTDATA("Soma de Faturamento em R$ - Perfumaria",$A$54,"Ano/Mês","2024/06")/GETPIVOTDATA("Soma de Total de Vendas Realizadas",$A$54,"Ano/Mês","2024/06")</f>
        <v>0.20725361284052241</v>
      </c>
    </row>
    <row r="57">
      <c r="A57" s="21" t="s">
        <v>95</v>
      </c>
      <c r="B57" s="18">
        <v>5565916.9399999995</v>
      </c>
      <c r="C57" s="18">
        <v>1106327.6799999999</v>
      </c>
      <c r="D57" s="5">
        <f>GETPIVOTDATA("Soma de Faturamento em R$ - Perfumaria",$A$54,"Ano/Mês","2024/07")/GETPIVOTDATA("Soma de Total de Vendas Realizadas",$A$54,"Ano/Mês","2024/07")</f>
        <v>0.19876826979742893</v>
      </c>
    </row>
    <row r="58">
      <c r="A58" s="21" t="s">
        <v>96</v>
      </c>
      <c r="B58" s="18">
        <v>5489006.8399999999</v>
      </c>
      <c r="C58" s="18">
        <v>1074577.6000000001</v>
      </c>
      <c r="D58" s="5">
        <f>GETPIVOTDATA("Soma de Faturamento em R$ - Perfumaria",$A$54,"Ano/Mês","2024/08")/GETPIVOTDATA("Soma de Total de Vendas Realizadas",$A$54,"Ano/Mês","2024/08")</f>
        <v>0.19576904006918674</v>
      </c>
    </row>
    <row r="59">
      <c r="A59" s="21" t="s">
        <v>97</v>
      </c>
      <c r="B59" s="18">
        <v>5113674.9700000007</v>
      </c>
      <c r="C59" s="18">
        <v>1033086.48</v>
      </c>
      <c r="D59" s="5">
        <f>GETPIVOTDATA("Soma de Faturamento em R$ - Perfumaria",$A$54,"Ano/Mês","2024/09")/GETPIVOTDATA("Soma de Total de Vendas Realizadas",$A$54,"Ano/Mês","2024/09")</f>
        <v>0.20202427531290668</v>
      </c>
    </row>
    <row r="60">
      <c r="A60" s="21" t="s">
        <v>98</v>
      </c>
      <c r="B60" s="18">
        <v>5255020.5799999991</v>
      </c>
      <c r="C60" s="18">
        <v>1029623.1499999999</v>
      </c>
      <c r="D60" s="5">
        <f>GETPIVOTDATA("Soma de Faturamento em R$ - Perfumaria",$A$54,"Ano/Mês","2024/10")/GETPIVOTDATA("Soma de Total de Vendas Realizadas",$A$54,"Ano/Mês","2024/10")</f>
        <v>0.19593132592451237</v>
      </c>
    </row>
    <row r="61">
      <c r="A61" s="21" t="s">
        <v>119</v>
      </c>
      <c r="B61" s="18">
        <v>32123110.189999998</v>
      </c>
      <c r="C61" s="18">
        <v>6439891.6400000006</v>
      </c>
      <c r="D61" s="56">
        <f>GETPIVOTDATA("Soma de Faturamento em R$ - Perfumaria",$A$54)/GETPIVOTDATA("Soma de Total de Vendas Realizadas",$A$54)</f>
        <v>0.20047534631328304</v>
      </c>
    </row>
    <row r="65">
      <c r="A65" s="48" t="s">
        <v>2</v>
      </c>
      <c r="B65" t="s">
        <v>141</v>
      </c>
    </row>
    <row r="67">
      <c r="A67" s="48" t="s">
        <v>111</v>
      </c>
      <c r="B67" s="48" t="s">
        <v>112</v>
      </c>
      <c r="C67" t="s">
        <v>178</v>
      </c>
      <c r="D67" s="51" t="s">
        <v>168</v>
      </c>
    </row>
    <row r="68">
      <c r="A68" s="21" t="s">
        <v>89</v>
      </c>
      <c r="B68" s="18">
        <v>5358624.0600000005</v>
      </c>
      <c r="C68" s="18">
        <v>581365.27000000002</v>
      </c>
      <c r="D68" s="5">
        <f>GETPIVOTDATA("Soma de Faturamento em R$ - Outros Produtos",$A$67,"Ano/Mês","2024/05")/GETPIVOTDATA("Soma de Total de Vendas Realizadas",$A$67,"Ano/Mês","2024/05")</f>
        <v>0.10849152011607995</v>
      </c>
    </row>
    <row r="69">
      <c r="A69" s="21" t="s">
        <v>94</v>
      </c>
      <c r="B69" s="18">
        <v>5340866.8000000007</v>
      </c>
      <c r="C69" s="18">
        <v>614216.88</v>
      </c>
      <c r="D69" s="5">
        <f>GETPIVOTDATA("Soma de Faturamento em R$ - Outros Produtos",$A$67,"Ano/Mês","2024/06")/GETPIVOTDATA("Soma de Total de Vendas Realizadas",$A$67,"Ano/Mês","2024/06")</f>
        <v>0.11500322007656134</v>
      </c>
    </row>
    <row r="70">
      <c r="A70" s="21" t="s">
        <v>95</v>
      </c>
      <c r="B70" s="18">
        <v>5565916.9399999995</v>
      </c>
      <c r="C70" s="18">
        <v>649946.83000000007</v>
      </c>
      <c r="D70" s="5">
        <f>GETPIVOTDATA("Soma de Faturamento em R$ - Outros Produtos",$A$67,"Ano/Mês","2024/07")/GETPIVOTDATA("Soma de Total de Vendas Realizadas",$A$67,"Ano/Mês","2024/07")</f>
        <v>0.1167726426761949</v>
      </c>
    </row>
    <row r="71">
      <c r="A71" s="21" t="s">
        <v>96</v>
      </c>
      <c r="B71" s="18">
        <v>5489006.8399999999</v>
      </c>
      <c r="C71" s="18">
        <v>620032.6100000001</v>
      </c>
      <c r="D71" s="5">
        <f>GETPIVOTDATA("Soma de Faturamento em R$ - Outros Produtos",$A$67,"Ano/Mês","2024/08")/GETPIVOTDATA("Soma de Total de Vendas Realizadas",$A$67,"Ano/Mês","2024/08")</f>
        <v>0.11295897929688135</v>
      </c>
    </row>
    <row r="72">
      <c r="A72" s="21" t="s">
        <v>97</v>
      </c>
      <c r="B72" s="18">
        <v>5113674.9700000007</v>
      </c>
      <c r="C72" s="18">
        <v>619268.07999999996</v>
      </c>
      <c r="D72" s="5">
        <f>GETPIVOTDATA("Soma de Faturamento em R$ - Outros Produtos",$A$67,"Ano/Mês","2024/09")/GETPIVOTDATA("Soma de Total de Vendas Realizadas",$A$67,"Ano/Mês","2024/09")</f>
        <v>0.12110039915188428</v>
      </c>
    </row>
    <row r="73">
      <c r="A73" s="21" t="s">
        <v>98</v>
      </c>
      <c r="B73" s="18">
        <v>5255020.5799999991</v>
      </c>
      <c r="C73" s="18">
        <v>629267.97999999998</v>
      </c>
      <c r="D73" s="5">
        <f>GETPIVOTDATA("Soma de Faturamento em R$ - Outros Produtos",$A$67,"Ano/Mês","2024/10")/GETPIVOTDATA("Soma de Total de Vendas Realizadas",$A$67,"Ano/Mês","2024/10")</f>
        <v>0.11974605435322579</v>
      </c>
    </row>
    <row r="74">
      <c r="A74" s="21" t="s">
        <v>119</v>
      </c>
      <c r="B74" s="18">
        <v>32123110.189999998</v>
      </c>
      <c r="C74" s="18">
        <v>3714097.6499999999</v>
      </c>
      <c r="D74" s="56">
        <f>GETPIVOTDATA("Soma de Faturamento em R$ - Outros Produtos",$A$67)/GETPIVOTDATA("Soma de Total de Vendas Realizadas",$A$67)</f>
        <v>0.11562073622485682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ONLYOFFICE/8.1.3.4</Application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Blenda Lima</dc:creator>
  <cp:lastModifiedBy>Bruna Carmo</cp:lastModifiedBy>
  <cp:revision>1</cp:revision>
  <dcterms:created xsi:type="dcterms:W3CDTF">2024-12-05T14:22:16Z</dcterms:created>
  <dcterms:modified xsi:type="dcterms:W3CDTF">2025-01-29T12:37:20Z</dcterms:modified>
</cp:coreProperties>
</file>